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3\08 Имущество\МП\255-п от 03.04.2023 — копия\"/>
    </mc:Choice>
  </mc:AlternateContent>
  <bookViews>
    <workbookView xWindow="0" yWindow="0" windowWidth="23010" windowHeight="7830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2'!$A$6:$N$162</definedName>
    <definedName name="Z_24583E6D_89B9_498A_976C_5AD203482A74_.wvu.PrintArea" localSheetId="0" hidden="1">'Таблица 2'!$A$1:$M$124</definedName>
    <definedName name="Z_37320934_34E6_4722_8E92_9F77EAB0AB6C_.wvu.PrintArea" localSheetId="0" hidden="1">'Таблица 2'!$A$1:$M$124</definedName>
    <definedName name="Z_469057AC_3DDA_472C_AA7B_B76ECE8A31ED_.wvu.PrintArea" localSheetId="0" hidden="1">'Таблица 2'!$A$1:$M$124</definedName>
    <definedName name="Z_5A8F0DBE_1BD9_41FF_9CF6_686C098930B2_.wvu.PrintArea" localSheetId="0" hidden="1">'Таблица 2'!$A$1:$M$124</definedName>
    <definedName name="Z_5C46AB69_1E93_463E_95D4_983D6B00B8B3_.wvu.PrintArea" localSheetId="0" hidden="1">'Таблица 2'!$A$1:$M$124</definedName>
    <definedName name="Z_5EA8AD4D_8094_4555_8AE0_D79579B47F9D_.wvu.PrintArea" localSheetId="0" hidden="1">'Таблица 2'!$A$1:$M$124</definedName>
    <definedName name="Z_6557DF1B_A1FD_4066_A0B1_7FD2DCF99760_.wvu.PrintArea" localSheetId="0" hidden="1">'Таблица 2'!$A$1:$M$124</definedName>
    <definedName name="Z_C05F6FFF_1269_4C02_9403_BA19A562A00F_.wvu.PrintArea" localSheetId="0" hidden="1">'Таблица 2'!$A$1:$M$124</definedName>
    <definedName name="Z_D846739F_98AA_4162_A91D_7F60BADD3165_.wvu.PrintArea" localSheetId="0" hidden="1">'Таблица 2'!$A$1:$M$124</definedName>
    <definedName name="Z_E7EECBF4_6533_4B1B_A11E_1CAF8171C831_.wvu.PrintArea" localSheetId="0" hidden="1">'Таблица 2'!$A$1:$M$124</definedName>
    <definedName name="Z_F815E10B_333A_4E46_B2BE_60F93FB6C339_.wvu.PrintArea" localSheetId="0" hidden="1">'Таблица 2'!$A$1:$M$124</definedName>
    <definedName name="_xlnm.Print_Area" localSheetId="0">'Таблица 2'!$A$1:$M$162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6" i="1" l="1"/>
  <c r="J155" i="1" l="1"/>
  <c r="J99" i="1" l="1"/>
  <c r="J103" i="1"/>
  <c r="E104" i="1"/>
  <c r="E103" i="1"/>
  <c r="E102" i="1"/>
  <c r="E101" i="1"/>
  <c r="F98" i="1"/>
  <c r="E98" i="1"/>
  <c r="E97" i="1"/>
  <c r="E96" i="1"/>
  <c r="E95" i="1"/>
  <c r="E94" i="1"/>
  <c r="M93" i="1"/>
  <c r="L93" i="1"/>
  <c r="K93" i="1"/>
  <c r="J93" i="1"/>
  <c r="I93" i="1"/>
  <c r="H93" i="1"/>
  <c r="G93" i="1"/>
  <c r="F93" i="1"/>
  <c r="E93" i="1" l="1"/>
  <c r="J85" i="1"/>
  <c r="J161" i="1" l="1"/>
  <c r="J153" i="1"/>
  <c r="J30" i="1" l="1"/>
  <c r="J47" i="1" l="1"/>
  <c r="J73" i="1"/>
  <c r="J67" i="1"/>
  <c r="J24" i="1"/>
  <c r="G149" i="1" l="1"/>
  <c r="H149" i="1"/>
  <c r="I149" i="1"/>
  <c r="K149" i="1"/>
  <c r="L149" i="1"/>
  <c r="M149" i="1"/>
  <c r="L148" i="1"/>
  <c r="L147" i="1"/>
  <c r="F149" i="1"/>
  <c r="F148" i="1"/>
  <c r="F160" i="1"/>
  <c r="F161" i="1"/>
  <c r="I153" i="1"/>
  <c r="F155" i="1"/>
  <c r="I30" i="1" l="1"/>
  <c r="I24" i="1"/>
  <c r="E36" i="1"/>
  <c r="L85" i="1" l="1"/>
  <c r="K85" i="1"/>
  <c r="L73" i="1"/>
  <c r="K73" i="1"/>
  <c r="J61" i="1" l="1"/>
  <c r="L36" i="1"/>
  <c r="L161" i="1" s="1"/>
  <c r="K36" i="1"/>
  <c r="L30" i="1"/>
  <c r="K30" i="1"/>
  <c r="L69" i="1"/>
  <c r="M69" i="1"/>
  <c r="M67" i="1"/>
  <c r="L67" i="1"/>
  <c r="K67" i="1"/>
  <c r="J68" i="1"/>
  <c r="M30" i="1"/>
  <c r="J31" i="1"/>
  <c r="L24" i="1"/>
  <c r="L20" i="1" s="1"/>
  <c r="K24" i="1"/>
  <c r="L162" i="1"/>
  <c r="L160" i="1"/>
  <c r="L159" i="1"/>
  <c r="L158" i="1"/>
  <c r="L156" i="1"/>
  <c r="L155" i="1"/>
  <c r="L154" i="1"/>
  <c r="L153" i="1"/>
  <c r="L152" i="1"/>
  <c r="L133" i="1"/>
  <c r="L116" i="1"/>
  <c r="L115" i="1"/>
  <c r="L114" i="1"/>
  <c r="L113" i="1"/>
  <c r="L111" i="1"/>
  <c r="L106" i="1" s="1"/>
  <c r="L112" i="1" s="1"/>
  <c r="L104" i="1"/>
  <c r="L103" i="1"/>
  <c r="L102" i="1"/>
  <c r="L101" i="1"/>
  <c r="L100" i="1"/>
  <c r="L87" i="1"/>
  <c r="L81" i="1"/>
  <c r="L75" i="1"/>
  <c r="L63" i="1"/>
  <c r="L57" i="1"/>
  <c r="L51" i="1"/>
  <c r="L45" i="1"/>
  <c r="L43" i="1"/>
  <c r="L42" i="1"/>
  <c r="L123" i="1" s="1"/>
  <c r="L41" i="1"/>
  <c r="L122" i="1" s="1"/>
  <c r="L40" i="1"/>
  <c r="L121" i="1" s="1"/>
  <c r="L39" i="1"/>
  <c r="L32" i="1"/>
  <c r="L26" i="1"/>
  <c r="L14" i="1"/>
  <c r="L8" i="1"/>
  <c r="L157" i="1" l="1"/>
  <c r="L99" i="1"/>
  <c r="L38" i="1"/>
  <c r="L151" i="1"/>
  <c r="L135" i="1"/>
  <c r="L136" i="1"/>
  <c r="L134" i="1"/>
  <c r="L117" i="1"/>
  <c r="L124" i="1" s="1"/>
  <c r="L120" i="1"/>
  <c r="L146" i="1" s="1"/>
  <c r="I85" i="1"/>
  <c r="I61" i="1"/>
  <c r="I36" i="1"/>
  <c r="I67" i="1"/>
  <c r="I60" i="1"/>
  <c r="I47" i="1"/>
  <c r="I48" i="1"/>
  <c r="I59" i="1"/>
  <c r="L164" i="1" l="1"/>
  <c r="L119" i="1"/>
  <c r="L137" i="1"/>
  <c r="L132" i="1" s="1"/>
  <c r="L150" i="1"/>
  <c r="L145" i="1" s="1"/>
  <c r="J156" i="1"/>
  <c r="K156" i="1"/>
  <c r="M156" i="1"/>
  <c r="I156" i="1"/>
  <c r="I160" i="1"/>
  <c r="I148" i="1" s="1"/>
  <c r="J160" i="1"/>
  <c r="J148" i="1" s="1"/>
  <c r="K160" i="1"/>
  <c r="K148" i="1" s="1"/>
  <c r="M160" i="1"/>
  <c r="M148" i="1" s="1"/>
  <c r="I159" i="1"/>
  <c r="I147" i="1" s="1"/>
  <c r="J159" i="1"/>
  <c r="J147" i="1" s="1"/>
  <c r="K159" i="1"/>
  <c r="K147" i="1" s="1"/>
  <c r="M159" i="1"/>
  <c r="M147" i="1" s="1"/>
  <c r="K155" i="1"/>
  <c r="M155" i="1"/>
  <c r="J154" i="1"/>
  <c r="K154" i="1"/>
  <c r="M154" i="1"/>
  <c r="K153" i="1"/>
  <c r="M153" i="1"/>
  <c r="J149" i="1"/>
  <c r="E149" i="1" s="1"/>
  <c r="K161" i="1"/>
  <c r="M161" i="1"/>
  <c r="I154" i="1" l="1"/>
  <c r="I101" i="1"/>
  <c r="I55" i="1"/>
  <c r="I102" i="1" l="1"/>
  <c r="I161" i="1"/>
  <c r="I103" i="1"/>
  <c r="H30" i="1" l="1"/>
  <c r="E52" i="1" l="1"/>
  <c r="E46" i="1"/>
  <c r="J101" i="1"/>
  <c r="K101" i="1"/>
  <c r="M101" i="1"/>
  <c r="J102" i="1"/>
  <c r="K102" i="1"/>
  <c r="M102" i="1"/>
  <c r="K103" i="1"/>
  <c r="M103" i="1"/>
  <c r="H104" i="1"/>
  <c r="I104" i="1"/>
  <c r="J104" i="1"/>
  <c r="K104" i="1"/>
  <c r="M104" i="1"/>
  <c r="G100" i="1"/>
  <c r="H100" i="1"/>
  <c r="I100" i="1"/>
  <c r="J100" i="1"/>
  <c r="K100" i="1"/>
  <c r="M100" i="1"/>
  <c r="F100" i="1"/>
  <c r="G50" i="1"/>
  <c r="F50" i="1"/>
  <c r="E50" i="1" s="1"/>
  <c r="F49" i="1"/>
  <c r="E49" i="1" s="1"/>
  <c r="I45" i="1"/>
  <c r="H48" i="1"/>
  <c r="G48" i="1"/>
  <c r="G154" i="1" s="1"/>
  <c r="F48" i="1"/>
  <c r="H47" i="1"/>
  <c r="H153" i="1" s="1"/>
  <c r="G47" i="1"/>
  <c r="G153" i="1" s="1"/>
  <c r="F47" i="1"/>
  <c r="M45" i="1"/>
  <c r="K45" i="1"/>
  <c r="J45" i="1"/>
  <c r="G45" i="1"/>
  <c r="E48" i="1" l="1"/>
  <c r="E47" i="1"/>
  <c r="F153" i="1"/>
  <c r="H45" i="1"/>
  <c r="F101" i="1"/>
  <c r="F45" i="1"/>
  <c r="E45" i="1" l="1"/>
  <c r="H85" i="1" l="1"/>
  <c r="I110" i="1" l="1"/>
  <c r="I155" i="1" s="1"/>
  <c r="M133" i="1" l="1"/>
  <c r="K133" i="1"/>
  <c r="J133" i="1"/>
  <c r="I133" i="1"/>
  <c r="H133" i="1"/>
  <c r="G133" i="1"/>
  <c r="E131" i="1"/>
  <c r="E130" i="1"/>
  <c r="E129" i="1"/>
  <c r="E128" i="1"/>
  <c r="E127" i="1"/>
  <c r="H126" i="1"/>
  <c r="G126" i="1"/>
  <c r="F126" i="1"/>
  <c r="E125" i="1"/>
  <c r="E126" i="1" l="1"/>
  <c r="M42" i="1"/>
  <c r="H61" i="1" l="1"/>
  <c r="H161" i="1" s="1"/>
  <c r="H67" i="1"/>
  <c r="H103" i="1" l="1"/>
  <c r="H24" i="1"/>
  <c r="H59" i="1" l="1"/>
  <c r="H60" i="1"/>
  <c r="H29" i="1"/>
  <c r="H154" i="1" s="1"/>
  <c r="H102" i="1" l="1"/>
  <c r="H160" i="1"/>
  <c r="H148" i="1" s="1"/>
  <c r="H101" i="1"/>
  <c r="H159" i="1"/>
  <c r="H147" i="1" s="1"/>
  <c r="H156" i="1"/>
  <c r="H110" i="1" l="1"/>
  <c r="E110" i="1" l="1"/>
  <c r="H155" i="1"/>
  <c r="G61" i="1"/>
  <c r="H42" i="1" l="1"/>
  <c r="G8" i="1" l="1"/>
  <c r="G67" i="1" l="1"/>
  <c r="G30" i="1" l="1"/>
  <c r="G85" i="1" l="1"/>
  <c r="G103" i="1" s="1"/>
  <c r="G54" i="1" l="1"/>
  <c r="G53" i="1" l="1"/>
  <c r="E53" i="1" l="1"/>
  <c r="G60" i="1"/>
  <c r="G59" i="1"/>
  <c r="E59" i="1" s="1"/>
  <c r="K42" i="1"/>
  <c r="J42" i="1"/>
  <c r="I42" i="1"/>
  <c r="G43" i="1"/>
  <c r="G36" i="1"/>
  <c r="G161" i="1" s="1"/>
  <c r="G24" i="1"/>
  <c r="G102" i="1" l="1"/>
  <c r="E60" i="1"/>
  <c r="G160" i="1"/>
  <c r="G148" i="1" s="1"/>
  <c r="G101" i="1"/>
  <c r="G159" i="1"/>
  <c r="G147" i="1" s="1"/>
  <c r="G42" i="1"/>
  <c r="M116" i="1"/>
  <c r="K116" i="1"/>
  <c r="J116" i="1"/>
  <c r="I116" i="1"/>
  <c r="H116" i="1"/>
  <c r="G116" i="1"/>
  <c r="M115" i="1"/>
  <c r="K115" i="1"/>
  <c r="J115" i="1"/>
  <c r="I115" i="1"/>
  <c r="H115" i="1"/>
  <c r="G115" i="1"/>
  <c r="M114" i="1"/>
  <c r="K114" i="1"/>
  <c r="J114" i="1"/>
  <c r="I114" i="1"/>
  <c r="H114" i="1"/>
  <c r="G114" i="1"/>
  <c r="M113" i="1"/>
  <c r="K113" i="1"/>
  <c r="J113" i="1"/>
  <c r="I113" i="1"/>
  <c r="H113" i="1"/>
  <c r="G113" i="1"/>
  <c r="M111" i="1"/>
  <c r="K111" i="1"/>
  <c r="J111" i="1"/>
  <c r="I111" i="1"/>
  <c r="I106" i="1" s="1"/>
  <c r="I112" i="1" s="1"/>
  <c r="H111" i="1"/>
  <c r="G111" i="1"/>
  <c r="G106" i="1" s="1"/>
  <c r="G112" i="1" s="1"/>
  <c r="F116" i="1"/>
  <c r="F115" i="1"/>
  <c r="F114" i="1"/>
  <c r="F113" i="1"/>
  <c r="F111" i="1"/>
  <c r="F117" i="1" s="1"/>
  <c r="E109" i="1"/>
  <c r="E108" i="1"/>
  <c r="E107" i="1"/>
  <c r="E138" i="1"/>
  <c r="F139" i="1"/>
  <c r="G139" i="1"/>
  <c r="H139" i="1"/>
  <c r="E140" i="1"/>
  <c r="E141" i="1"/>
  <c r="E142" i="1"/>
  <c r="E143" i="1"/>
  <c r="E144" i="1"/>
  <c r="F152" i="1"/>
  <c r="G152" i="1"/>
  <c r="H152" i="1"/>
  <c r="I152" i="1"/>
  <c r="I151" i="1" s="1"/>
  <c r="J152" i="1"/>
  <c r="K152" i="1"/>
  <c r="M152" i="1"/>
  <c r="F158" i="1"/>
  <c r="G158" i="1"/>
  <c r="H158" i="1"/>
  <c r="I158" i="1"/>
  <c r="J158" i="1"/>
  <c r="K158" i="1"/>
  <c r="M158" i="1"/>
  <c r="F159" i="1"/>
  <c r="F147" i="1" s="1"/>
  <c r="H162" i="1"/>
  <c r="I162" i="1"/>
  <c r="J162" i="1"/>
  <c r="K162" i="1"/>
  <c r="M162" i="1"/>
  <c r="M43" i="1"/>
  <c r="K43" i="1"/>
  <c r="J43" i="1"/>
  <c r="I43" i="1"/>
  <c r="H43" i="1"/>
  <c r="M41" i="1"/>
  <c r="K41" i="1"/>
  <c r="J41" i="1"/>
  <c r="I41" i="1"/>
  <c r="H41" i="1"/>
  <c r="G41" i="1"/>
  <c r="M40" i="1"/>
  <c r="K40" i="1"/>
  <c r="J40" i="1"/>
  <c r="I40" i="1"/>
  <c r="H40" i="1"/>
  <c r="G40" i="1"/>
  <c r="M39" i="1"/>
  <c r="K39" i="1"/>
  <c r="J39" i="1"/>
  <c r="I39" i="1"/>
  <c r="H39" i="1"/>
  <c r="G39" i="1"/>
  <c r="F41" i="1"/>
  <c r="F40" i="1"/>
  <c r="F39" i="1"/>
  <c r="F120" i="1" l="1"/>
  <c r="J117" i="1"/>
  <c r="G117" i="1"/>
  <c r="G137" i="1"/>
  <c r="K117" i="1"/>
  <c r="H117" i="1"/>
  <c r="H137" i="1"/>
  <c r="M117" i="1"/>
  <c r="I117" i="1"/>
  <c r="K106" i="1"/>
  <c r="K112" i="1" s="1"/>
  <c r="E113" i="1"/>
  <c r="J106" i="1"/>
  <c r="J112" i="1" s="1"/>
  <c r="E116" i="1"/>
  <c r="H38" i="1"/>
  <c r="E115" i="1"/>
  <c r="E139" i="1"/>
  <c r="H106" i="1"/>
  <c r="H112" i="1" s="1"/>
  <c r="M106" i="1"/>
  <c r="M112" i="1" s="1"/>
  <c r="E111" i="1"/>
  <c r="K151" i="1"/>
  <c r="J157" i="1"/>
  <c r="J151" i="1"/>
  <c r="E114" i="1"/>
  <c r="I157" i="1"/>
  <c r="E152" i="1"/>
  <c r="K157" i="1"/>
  <c r="M157" i="1"/>
  <c r="H157" i="1"/>
  <c r="M151" i="1"/>
  <c r="H151" i="1"/>
  <c r="F106" i="1"/>
  <c r="E158" i="1"/>
  <c r="E39" i="1"/>
  <c r="E117" i="1" l="1"/>
  <c r="E106" i="1"/>
  <c r="F112" i="1"/>
  <c r="E112" i="1" s="1"/>
  <c r="H164" i="1"/>
  <c r="K164" i="1"/>
  <c r="I164" i="1"/>
  <c r="M164" i="1"/>
  <c r="J164" i="1"/>
  <c r="G91" i="1" l="1"/>
  <c r="G155" i="1" s="1"/>
  <c r="G123" i="1" l="1"/>
  <c r="G136" i="1" s="1"/>
  <c r="E159" i="1"/>
  <c r="G80" i="1"/>
  <c r="G156" i="1" s="1"/>
  <c r="G122" i="1" l="1"/>
  <c r="G135" i="1" s="1"/>
  <c r="I124" i="1"/>
  <c r="G121" i="1"/>
  <c r="G56" i="1"/>
  <c r="G75" i="1"/>
  <c r="G51" i="1" l="1"/>
  <c r="G104" i="1"/>
  <c r="G134" i="1"/>
  <c r="G132" i="1" s="1"/>
  <c r="I150" i="1"/>
  <c r="I137" i="1"/>
  <c r="G162" i="1"/>
  <c r="G157" i="1" s="1"/>
  <c r="G151" i="1"/>
  <c r="G164" i="1" l="1"/>
  <c r="F86" i="1"/>
  <c r="F80" i="1"/>
  <c r="F62" i="1"/>
  <c r="F37" i="1"/>
  <c r="F30" i="1"/>
  <c r="F36" i="1"/>
  <c r="F24" i="1"/>
  <c r="F31" i="1"/>
  <c r="F25" i="1"/>
  <c r="F13" i="1"/>
  <c r="F12" i="1"/>
  <c r="E12" i="1" l="1"/>
  <c r="F104" i="1"/>
  <c r="F162" i="1"/>
  <c r="E162" i="1" s="1"/>
  <c r="E153" i="1"/>
  <c r="F156" i="1"/>
  <c r="E156" i="1" s="1"/>
  <c r="F43" i="1"/>
  <c r="E43" i="1" s="1"/>
  <c r="E68" i="1"/>
  <c r="F67" i="1"/>
  <c r="E67" i="1" s="1"/>
  <c r="F85" i="1" l="1"/>
  <c r="F79" i="1"/>
  <c r="F55" i="1" l="1"/>
  <c r="E55" i="1" l="1"/>
  <c r="F61" i="1"/>
  <c r="E61" i="1" s="1"/>
  <c r="F18" i="1"/>
  <c r="E161" i="1" l="1"/>
  <c r="F103" i="1"/>
  <c r="E18" i="1"/>
  <c r="F42" i="1"/>
  <c r="E155" i="1"/>
  <c r="F124" i="1"/>
  <c r="F87" i="1"/>
  <c r="F137" i="1" l="1"/>
  <c r="F123" i="1"/>
  <c r="F136" i="1" s="1"/>
  <c r="E42" i="1"/>
  <c r="F38" i="1"/>
  <c r="F150" i="1"/>
  <c r="F14" i="1"/>
  <c r="F54" i="1" l="1"/>
  <c r="F102" i="1" s="1"/>
  <c r="F157" i="1" l="1"/>
  <c r="E157" i="1" s="1"/>
  <c r="E54" i="1"/>
  <c r="F63" i="1"/>
  <c r="F20" i="1"/>
  <c r="F26" i="1"/>
  <c r="F32" i="1"/>
  <c r="E160" i="1" l="1"/>
  <c r="E25" i="1"/>
  <c r="I120" i="1" l="1"/>
  <c r="J120" i="1"/>
  <c r="K120" i="1"/>
  <c r="I81" i="1"/>
  <c r="J81" i="1"/>
  <c r="K81" i="1"/>
  <c r="M81" i="1"/>
  <c r="I87" i="1"/>
  <c r="J87" i="1"/>
  <c r="K87" i="1"/>
  <c r="M87" i="1"/>
  <c r="M75" i="1"/>
  <c r="J75" i="1"/>
  <c r="I75" i="1"/>
  <c r="K75" i="1"/>
  <c r="I69" i="1"/>
  <c r="J69" i="1"/>
  <c r="K69" i="1"/>
  <c r="I63" i="1"/>
  <c r="J63" i="1"/>
  <c r="K63" i="1"/>
  <c r="M63" i="1"/>
  <c r="I57" i="1"/>
  <c r="J57" i="1"/>
  <c r="K57" i="1"/>
  <c r="M57" i="1"/>
  <c r="M51" i="1"/>
  <c r="K51" i="1"/>
  <c r="J51" i="1"/>
  <c r="I51" i="1"/>
  <c r="I32" i="1"/>
  <c r="J32" i="1"/>
  <c r="E32" i="1" s="1"/>
  <c r="K32" i="1"/>
  <c r="M32" i="1"/>
  <c r="I26" i="1"/>
  <c r="J26" i="1"/>
  <c r="K26" i="1"/>
  <c r="M26" i="1"/>
  <c r="I20" i="1"/>
  <c r="J20" i="1"/>
  <c r="K20" i="1"/>
  <c r="M20" i="1"/>
  <c r="I8" i="1"/>
  <c r="H123" i="1"/>
  <c r="H136" i="1" s="1"/>
  <c r="M120" i="1" l="1"/>
  <c r="M146" i="1" s="1"/>
  <c r="M99" i="1"/>
  <c r="J122" i="1"/>
  <c r="K121" i="1"/>
  <c r="M124" i="1"/>
  <c r="I122" i="1"/>
  <c r="J121" i="1"/>
  <c r="K124" i="1"/>
  <c r="M122" i="1"/>
  <c r="I121" i="1"/>
  <c r="J124" i="1"/>
  <c r="K122" i="1"/>
  <c r="M121" i="1"/>
  <c r="I123" i="1"/>
  <c r="M123" i="1"/>
  <c r="K123" i="1"/>
  <c r="J123" i="1"/>
  <c r="K146" i="1"/>
  <c r="J146" i="1"/>
  <c r="I146" i="1"/>
  <c r="K38" i="1"/>
  <c r="E99" i="1"/>
  <c r="K99" i="1"/>
  <c r="I99" i="1"/>
  <c r="M38" i="1"/>
  <c r="J38" i="1"/>
  <c r="I38" i="1"/>
  <c r="E9" i="1"/>
  <c r="H8" i="1"/>
  <c r="J8" i="1"/>
  <c r="K8" i="1"/>
  <c r="M8" i="1"/>
  <c r="F8" i="1"/>
  <c r="J134" i="1" l="1"/>
  <c r="E123" i="1"/>
  <c r="J136" i="1"/>
  <c r="I119" i="1"/>
  <c r="K136" i="1"/>
  <c r="K135" i="1"/>
  <c r="K150" i="1"/>
  <c r="K137" i="1"/>
  <c r="K134" i="1"/>
  <c r="M136" i="1"/>
  <c r="J150" i="1"/>
  <c r="J137" i="1"/>
  <c r="J135" i="1"/>
  <c r="M134" i="1"/>
  <c r="M135" i="1"/>
  <c r="M150" i="1"/>
  <c r="M137" i="1"/>
  <c r="I135" i="1"/>
  <c r="I134" i="1"/>
  <c r="I136" i="1"/>
  <c r="M119" i="1"/>
  <c r="K119" i="1"/>
  <c r="J119" i="1"/>
  <c r="E23" i="1"/>
  <c r="E24" i="1"/>
  <c r="J132" i="1" l="1"/>
  <c r="K132" i="1"/>
  <c r="I145" i="1"/>
  <c r="M145" i="1"/>
  <c r="J145" i="1"/>
  <c r="K145" i="1"/>
  <c r="M132" i="1"/>
  <c r="E137" i="1"/>
  <c r="E136" i="1"/>
  <c r="I132" i="1"/>
  <c r="I14" i="1"/>
  <c r="J14" i="1"/>
  <c r="K14" i="1"/>
  <c r="M14" i="1"/>
  <c r="G87" i="1" l="1"/>
  <c r="E91" i="1"/>
  <c r="E90" i="1"/>
  <c r="F154" i="1" s="1"/>
  <c r="E89" i="1"/>
  <c r="E88" i="1"/>
  <c r="H87" i="1"/>
  <c r="G14" i="1"/>
  <c r="E17" i="1"/>
  <c r="E16" i="1"/>
  <c r="E15" i="1"/>
  <c r="H14" i="1"/>
  <c r="E14" i="1" l="1"/>
  <c r="E154" i="1"/>
  <c r="F151" i="1"/>
  <c r="E151" i="1" l="1"/>
  <c r="E164" i="1" s="1"/>
  <c r="F164" i="1"/>
  <c r="G81" i="1"/>
  <c r="F122" i="1" l="1"/>
  <c r="E77" i="1"/>
  <c r="E78" i="1"/>
  <c r="E79" i="1"/>
  <c r="E80" i="1"/>
  <c r="E76" i="1"/>
  <c r="F75" i="1"/>
  <c r="E73" i="1"/>
  <c r="F135" i="1" l="1"/>
  <c r="F81" i="1"/>
  <c r="H75" i="1"/>
  <c r="F69" i="1"/>
  <c r="G124" i="1"/>
  <c r="F121" i="1"/>
  <c r="G120" i="1"/>
  <c r="E120" i="1" s="1"/>
  <c r="H120" i="1"/>
  <c r="E86" i="1"/>
  <c r="E85" i="1"/>
  <c r="E84" i="1"/>
  <c r="E83" i="1"/>
  <c r="E82" i="1"/>
  <c r="H81" i="1"/>
  <c r="E74" i="1"/>
  <c r="E72" i="1"/>
  <c r="E71" i="1"/>
  <c r="E70" i="1"/>
  <c r="G69" i="1"/>
  <c r="H69" i="1"/>
  <c r="E66" i="1"/>
  <c r="E65" i="1"/>
  <c r="E64" i="1"/>
  <c r="G63" i="1"/>
  <c r="F57" i="1"/>
  <c r="E27" i="1"/>
  <c r="E31" i="1"/>
  <c r="E62" i="1"/>
  <c r="E58" i="1"/>
  <c r="G57" i="1"/>
  <c r="H57" i="1"/>
  <c r="E56" i="1"/>
  <c r="H51" i="1"/>
  <c r="F51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E51" i="1" l="1"/>
  <c r="F134" i="1"/>
  <c r="G119" i="1"/>
  <c r="H122" i="1"/>
  <c r="E122" i="1" s="1"/>
  <c r="G150" i="1"/>
  <c r="F133" i="1"/>
  <c r="F99" i="1"/>
  <c r="H121" i="1"/>
  <c r="H134" i="1" s="1"/>
  <c r="H124" i="1"/>
  <c r="E124" i="1" s="1"/>
  <c r="E20" i="1"/>
  <c r="H146" i="1"/>
  <c r="G146" i="1"/>
  <c r="E100" i="1"/>
  <c r="E69" i="1"/>
  <c r="E81" i="1"/>
  <c r="E40" i="1"/>
  <c r="G99" i="1"/>
  <c r="E57" i="1"/>
  <c r="E41" i="1"/>
  <c r="E121" i="1" l="1"/>
  <c r="H135" i="1"/>
  <c r="E135" i="1" s="1"/>
  <c r="E133" i="1"/>
  <c r="F132" i="1"/>
  <c r="E134" i="1"/>
  <c r="E147" i="1"/>
  <c r="F146" i="1"/>
  <c r="F145" i="1" s="1"/>
  <c r="F119" i="1"/>
  <c r="E148" i="1"/>
  <c r="G145" i="1"/>
  <c r="H150" i="1"/>
  <c r="E150" i="1" s="1"/>
  <c r="G38" i="1"/>
  <c r="E146" i="1" l="1"/>
  <c r="H132" i="1"/>
  <c r="E132" i="1" s="1"/>
  <c r="H145" i="1"/>
  <c r="E8" i="1"/>
  <c r="E26" i="1"/>
  <c r="E30" i="1"/>
  <c r="H63" i="1"/>
  <c r="E63" i="1" s="1"/>
  <c r="E75" i="1"/>
  <c r="E145" i="1" l="1"/>
  <c r="E38" i="1"/>
  <c r="H99" i="1"/>
  <c r="H119" i="1" l="1"/>
  <c r="E119" i="1" s="1"/>
</calcChain>
</file>

<file path=xl/sharedStrings.xml><?xml version="1.0" encoding="utf-8"?>
<sst xmlns="http://schemas.openxmlformats.org/spreadsheetml/2006/main" count="328" uniqueCount="145">
  <si>
    <t>Таблица №2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</si>
  <si>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</si>
  <si>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</si>
  <si>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</si>
  <si>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</si>
  <si>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</si>
  <si>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</si>
  <si>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</si>
  <si>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</si>
  <si>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</si>
  <si>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</si>
  <si>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</si>
  <si>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</si>
  <si>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</si>
  <si>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</si>
  <si>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</si>
  <si>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</si>
  <si>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</si>
  <si>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</si>
  <si>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</si>
  <si>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</si>
  <si>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</si>
  <si>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</si>
  <si>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</si>
  <si>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</si>
  <si>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</si>
  <si>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</si>
  <si>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</si>
  <si>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</si>
  <si>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</si>
  <si>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</si>
  <si>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</si>
  <si>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</si>
  <si>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</si>
  <si>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</si>
  <si>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</si>
  <si>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</si>
  <si>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</si>
  <si>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</si>
  <si>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</si>
  <si>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</si>
  <si>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</si>
  <si>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</si>
  <si>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</si>
  <si>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</si>
  <si>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</si>
  <si>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</si>
  <si>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</si>
  <si>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</si>
  <si>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</si>
  <si>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</si>
  <si>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</si>
  <si>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</si>
  <si>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</si>
  <si>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</si>
  <si>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</si>
  <si>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</si>
  <si>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</si>
  <si>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</si>
  <si>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
</t>
  </si>
  <si>
    <t xml:space="preserve">Оценка имущества, обследование жилых и нежилых помещений, зданий, строений, домов, оформление полисов ОСАГО 
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</si>
  <si>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</si>
  <si>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</si>
  <si>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</si>
  <si>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</si>
  <si>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</si>
  <si>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</si>
  <si>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На мероприятия по выплате  выкупной стоимости</t>
  </si>
  <si>
    <t>На мероприятия по сносу МКД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</si>
  <si>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
</t>
  </si>
  <si>
    <t>На мероприятия по ремонту жилого фонда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</si>
  <si>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</si>
  <si>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</si>
  <si>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</si>
  <si>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</si>
  <si>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</si>
  <si>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</si>
  <si>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</si>
  <si>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</si>
  <si>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</si>
  <si>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</si>
  <si>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</si>
  <si>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</si>
  <si>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</si>
  <si>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</si>
  <si>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</si>
  <si>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</si>
  <si>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</si>
  <si>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</si>
  <si>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</si>
  <si>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</si>
  <si>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</si>
  <si>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</si>
  <si>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</si>
  <si>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</si>
  <si>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</si>
  <si>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</si>
  <si>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</si>
  <si>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</si>
  <si>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</si>
  <si>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</si>
  <si>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</si>
  <si>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</si>
  <si>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</si>
  <si>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</si>
  <si>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</si>
  <si>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</si>
  <si>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</si>
  <si>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</si>
  <si>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</si>
  <si>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</si>
  <si>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</si>
  <si>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</si>
  <si>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</si>
  <si>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</si>
  <si>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</si>
  <si>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</si>
  <si>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</si>
  <si>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</si>
  <si>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>Основное мероприятие "Снос расселенных многоквартирных домов" (показатель №7)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</si>
  <si>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</si>
  <si>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</si>
  <si>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</si>
  <si>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</si>
  <si>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</si>
  <si>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</si>
  <si>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7)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</si>
  <si>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 8)
</t>
  </si>
  <si>
    <t>Основное мероприятие Региональный проект "Обеспечение устойчивого сокращения непригодного для проживания жилищного фонда"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</si>
  <si>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</si>
  <si>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</si>
  <si>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</si>
  <si>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</si>
  <si>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</si>
  <si>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</si>
  <si>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 xml:space="preserve">2026-2030 </t>
  </si>
  <si>
    <t>2025 год</t>
  </si>
  <si>
    <t>2025 г.</t>
  </si>
  <si>
    <t>2026-2030 гг.</t>
  </si>
  <si>
    <t>Осток стоимости на 01.01.2023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</si>
  <si>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</si>
  <si>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6.</t>
  </si>
  <si>
    <t>"Приобретение жилых помещений с целью улучшения жилищных условий граждан"</t>
  </si>
  <si>
    <t>Приобретение жилых помещений для включения в состав муниципального жилищного фонда.</t>
  </si>
  <si>
    <t>Основное мероприятие "Приобретение жилых помещений с целью улучшения жилищных условий граждан" (показатель №6)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</si>
</sst>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36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2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6" fontId="8" fillId="2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8" fillId="2" borderId="1" xfId="1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2" borderId="1" xfId="1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horizontal="center" vertical="top"/>
    </xf>
    <xf numFmtId="166" fontId="8" fillId="2" borderId="1" xfId="0" applyNumberFormat="1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6" fontId="9" fillId="2" borderId="1" xfId="0" applyNumberFormat="1" applyFont="1" applyFill="1" applyBorder="1" applyAlignment="1">
      <alignment horizontal="left" vertical="top" wrapText="1"/>
    </xf>
    <xf numFmtId="169" fontId="9" fillId="2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166" fontId="9" fillId="2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3" fillId="0" borderId="1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7"/>
  <sheetViews>
    <sheetView tabSelected="1" view="pageBreakPreview" zoomScale="70" zoomScaleNormal="70" zoomScaleSheetLayoutView="70" workbookViewId="0">
      <pane ySplit="1" topLeftCell="A2" activePane="bottomLeft" state="frozen"/>
      <selection pane="bottomLeft" activeCell="K153" sqref="K153"/>
    </sheetView>
  </sheetViews>
  <sheetFormatPr defaultColWidth="9.140625" defaultRowHeight="16.5" outlineLevelRow="1" x14ac:dyDescent="0.25"/>
  <cols>
    <col min="1" max="1" width="16.42578125" style="1" customWidth="1"/>
    <col min="2" max="2" width="37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5703125" style="2" bestFit="1" customWidth="1"/>
    <col min="7" max="7" width="22.5703125" style="14" bestFit="1" customWidth="1"/>
    <col min="8" max="8" width="22.85546875" style="2" customWidth="1"/>
    <col min="9" max="9" width="23.42578125" style="2" customWidth="1"/>
    <col min="10" max="11" width="21" style="2" bestFit="1" customWidth="1"/>
    <col min="12" max="13" width="22.5703125" style="2" customWidth="1"/>
    <col min="14" max="14" width="23.85546875" style="6" customWidth="1"/>
    <col min="15" max="15" width="16.42578125" style="6" bestFit="1" customWidth="1"/>
    <col min="16" max="16" width="19.5703125" style="2" bestFit="1" customWidth="1"/>
    <col min="17" max="16384" width="9.140625" style="2"/>
  </cols>
  <sheetData>
    <row r="1" spans="1:16" x14ac:dyDescent="0.25">
      <c r="A1" s="16"/>
      <c r="B1" s="17"/>
      <c r="C1" s="18"/>
      <c r="D1" s="17"/>
      <c r="E1" s="17"/>
      <c r="F1" s="17"/>
      <c r="G1" s="211" t="s">
        <v>0</v>
      </c>
      <c r="H1" s="211"/>
      <c r="I1" s="211"/>
      <c r="J1" s="211"/>
      <c r="K1" s="211"/>
      <c r="L1" s="211"/>
      <c r="M1" s="211"/>
    </row>
    <row r="2" spans="1:16" ht="25.5" customHeight="1" x14ac:dyDescent="0.25">
      <c r="A2" s="212" t="s">
        <v>46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</row>
    <row r="3" spans="1:16" ht="16.5" customHeight="1" x14ac:dyDescent="0.25">
      <c r="A3" s="213" t="s">
        <v>45</v>
      </c>
      <c r="B3" s="214" t="s">
        <v>2</v>
      </c>
      <c r="C3" s="214" t="s">
        <v>40</v>
      </c>
      <c r="D3" s="214" t="s">
        <v>3</v>
      </c>
      <c r="E3" s="214" t="s">
        <v>4</v>
      </c>
      <c r="F3" s="214"/>
      <c r="G3" s="214"/>
      <c r="H3" s="214"/>
      <c r="I3" s="214"/>
      <c r="J3" s="214"/>
      <c r="K3" s="214"/>
      <c r="L3" s="214"/>
      <c r="M3" s="214"/>
    </row>
    <row r="4" spans="1:16" x14ac:dyDescent="0.25">
      <c r="A4" s="213"/>
      <c r="B4" s="214"/>
      <c r="C4" s="214"/>
      <c r="D4" s="214"/>
      <c r="E4" s="214" t="s">
        <v>5</v>
      </c>
      <c r="F4" s="215">
        <v>2019</v>
      </c>
      <c r="G4" s="214" t="s">
        <v>6</v>
      </c>
      <c r="H4" s="214"/>
      <c r="I4" s="214"/>
      <c r="J4" s="214"/>
      <c r="K4" s="214"/>
      <c r="L4" s="214"/>
      <c r="M4" s="214"/>
    </row>
    <row r="5" spans="1:16" ht="96.75" customHeight="1" x14ac:dyDescent="0.25">
      <c r="A5" s="213"/>
      <c r="B5" s="214"/>
      <c r="C5" s="214"/>
      <c r="D5" s="214"/>
      <c r="E5" s="214"/>
      <c r="F5" s="216"/>
      <c r="G5" s="54">
        <v>2020</v>
      </c>
      <c r="H5" s="53">
        <v>2021</v>
      </c>
      <c r="I5" s="53">
        <v>2022</v>
      </c>
      <c r="J5" s="53">
        <v>2023</v>
      </c>
      <c r="K5" s="53">
        <v>2024</v>
      </c>
      <c r="L5" s="150">
        <v>2025</v>
      </c>
      <c r="M5" s="53" t="s">
        <v>135</v>
      </c>
    </row>
    <row r="6" spans="1:16" x14ac:dyDescent="0.25">
      <c r="A6" s="19">
        <v>1</v>
      </c>
      <c r="B6" s="20">
        <v>2</v>
      </c>
      <c r="C6" s="20">
        <v>3</v>
      </c>
      <c r="D6" s="19">
        <v>4</v>
      </c>
      <c r="E6" s="20">
        <v>5</v>
      </c>
      <c r="F6" s="20">
        <v>6</v>
      </c>
      <c r="G6" s="21">
        <v>7</v>
      </c>
      <c r="H6" s="20">
        <v>8</v>
      </c>
      <c r="I6" s="20">
        <v>9</v>
      </c>
      <c r="J6" s="19">
        <v>10</v>
      </c>
      <c r="K6" s="20">
        <v>11</v>
      </c>
      <c r="L6" s="20">
        <v>12</v>
      </c>
      <c r="M6" s="20">
        <v>12</v>
      </c>
    </row>
    <row r="7" spans="1:16" s="56" customFormat="1" ht="15" customHeight="1" x14ac:dyDescent="0.25">
      <c r="A7" s="209" t="s">
        <v>42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55"/>
      <c r="O7" s="55"/>
    </row>
    <row r="8" spans="1:16" ht="3" hidden="1" customHeight="1" outlineLevel="1" x14ac:dyDescent="0.25">
      <c r="A8" s="174" t="s">
        <v>9</v>
      </c>
      <c r="B8" s="164" t="s">
        <v>10</v>
      </c>
      <c r="C8" s="164" t="s">
        <v>26</v>
      </c>
      <c r="D8" s="22" t="s">
        <v>11</v>
      </c>
      <c r="E8" s="23" t="e">
        <f>F8+G8+H8+#REF!</f>
        <v>#REF!</v>
      </c>
      <c r="F8" s="24">
        <f>SUM(F9:F13)</f>
        <v>385.98906000000011</v>
      </c>
      <c r="G8" s="25">
        <f>SUM(G9:G13)</f>
        <v>618.5</v>
      </c>
      <c r="H8" s="24">
        <f t="shared" ref="H8:M8" si="0">SUM(H9:H13)</f>
        <v>0</v>
      </c>
      <c r="I8" s="24">
        <f>SUM(I9:I13)</f>
        <v>0</v>
      </c>
      <c r="J8" s="24">
        <f t="shared" si="0"/>
        <v>0</v>
      </c>
      <c r="K8" s="24">
        <f t="shared" si="0"/>
        <v>0</v>
      </c>
      <c r="L8" s="24">
        <f t="shared" ref="L8" si="1">SUM(L9:L13)</f>
        <v>0</v>
      </c>
      <c r="M8" s="24">
        <f t="shared" si="0"/>
        <v>0</v>
      </c>
    </row>
    <row r="9" spans="1:16" ht="3" hidden="1" customHeight="1" outlineLevel="1" x14ac:dyDescent="0.25">
      <c r="A9" s="174"/>
      <c r="B9" s="164"/>
      <c r="C9" s="164"/>
      <c r="D9" s="26" t="s">
        <v>25</v>
      </c>
      <c r="E9" s="24">
        <f>SUM(F9:M9)</f>
        <v>0</v>
      </c>
      <c r="F9" s="24">
        <v>0</v>
      </c>
      <c r="G9" s="25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</row>
    <row r="10" spans="1:16" ht="33" hidden="1" outlineLevel="1" x14ac:dyDescent="0.25">
      <c r="A10" s="174"/>
      <c r="B10" s="164"/>
      <c r="C10" s="164"/>
      <c r="D10" s="26" t="s">
        <v>12</v>
      </c>
      <c r="E10" s="24">
        <f>SUM(F10:M10)</f>
        <v>0</v>
      </c>
      <c r="F10" s="27">
        <v>0</v>
      </c>
      <c r="G10" s="28">
        <v>0</v>
      </c>
      <c r="H10" s="27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8"/>
      <c r="O10" s="8"/>
      <c r="P10" s="9"/>
    </row>
    <row r="11" spans="1:16" hidden="1" outlineLevel="1" x14ac:dyDescent="0.25">
      <c r="A11" s="174"/>
      <c r="B11" s="164"/>
      <c r="C11" s="164"/>
      <c r="D11" s="26" t="s">
        <v>13</v>
      </c>
      <c r="E11" s="24">
        <f>SUM(F11:M11)</f>
        <v>0</v>
      </c>
      <c r="F11" s="29">
        <v>0</v>
      </c>
      <c r="G11" s="30">
        <v>0</v>
      </c>
      <c r="H11" s="29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8"/>
      <c r="O11" s="8"/>
      <c r="P11" s="9"/>
    </row>
    <row r="12" spans="1:16" ht="33" hidden="1" outlineLevel="1" x14ac:dyDescent="0.25">
      <c r="A12" s="174"/>
      <c r="B12" s="164"/>
      <c r="C12" s="164"/>
      <c r="D12" s="26" t="s">
        <v>14</v>
      </c>
      <c r="E12" s="23">
        <f>SUM(F12:M12)</f>
        <v>884.48906000000011</v>
      </c>
      <c r="F12" s="27">
        <f>658.98949-27.6261-245.37433</f>
        <v>385.98906000000011</v>
      </c>
      <c r="G12" s="28">
        <v>498.5</v>
      </c>
      <c r="H12" s="27">
        <v>0</v>
      </c>
      <c r="I12" s="29"/>
      <c r="J12" s="29"/>
      <c r="K12" s="29"/>
      <c r="L12" s="29"/>
      <c r="M12" s="29"/>
      <c r="N12" s="8"/>
      <c r="O12" s="8"/>
      <c r="P12" s="9"/>
    </row>
    <row r="13" spans="1:16" hidden="1" outlineLevel="1" x14ac:dyDescent="0.25">
      <c r="A13" s="174"/>
      <c r="B13" s="164"/>
      <c r="C13" s="164"/>
      <c r="D13" s="26" t="s">
        <v>15</v>
      </c>
      <c r="E13" s="23">
        <f>SUM(F13:M13)</f>
        <v>120</v>
      </c>
      <c r="F13" s="27">
        <f>120-120</f>
        <v>0</v>
      </c>
      <c r="G13" s="28">
        <v>120</v>
      </c>
      <c r="H13" s="27"/>
      <c r="I13" s="29"/>
      <c r="J13" s="29"/>
      <c r="K13" s="29"/>
      <c r="L13" s="29"/>
      <c r="M13" s="29"/>
      <c r="N13" s="8"/>
      <c r="O13" s="8"/>
      <c r="P13" s="9"/>
    </row>
    <row r="14" spans="1:16" hidden="1" outlineLevel="1" x14ac:dyDescent="0.25">
      <c r="A14" s="174" t="s">
        <v>32</v>
      </c>
      <c r="B14" s="164" t="s">
        <v>38</v>
      </c>
      <c r="C14" s="164" t="s">
        <v>26</v>
      </c>
      <c r="D14" s="22" t="s">
        <v>11</v>
      </c>
      <c r="E14" s="23">
        <f>F14+G14+H14+I14</f>
        <v>247.5</v>
      </c>
      <c r="F14" s="24">
        <f>SUM(F15:F19)</f>
        <v>47.5</v>
      </c>
      <c r="G14" s="25">
        <f>SUM(G15:G19)</f>
        <v>200</v>
      </c>
      <c r="H14" s="24">
        <f t="shared" ref="H14:M14" si="2">SUM(H15:H19)</f>
        <v>0</v>
      </c>
      <c r="I14" s="24">
        <f t="shared" si="2"/>
        <v>0</v>
      </c>
      <c r="J14" s="24">
        <f t="shared" si="2"/>
        <v>0</v>
      </c>
      <c r="K14" s="24">
        <f t="shared" si="2"/>
        <v>0</v>
      </c>
      <c r="L14" s="24">
        <f t="shared" ref="L14" si="3">SUM(L15:L19)</f>
        <v>0</v>
      </c>
      <c r="M14" s="24">
        <f t="shared" si="2"/>
        <v>0</v>
      </c>
    </row>
    <row r="15" spans="1:16" hidden="1" outlineLevel="1" x14ac:dyDescent="0.25">
      <c r="A15" s="174"/>
      <c r="B15" s="164"/>
      <c r="C15" s="164"/>
      <c r="D15" s="26" t="s">
        <v>25</v>
      </c>
      <c r="E15" s="24">
        <f>SUM(F15:M15)</f>
        <v>0</v>
      </c>
      <c r="F15" s="24">
        <v>0</v>
      </c>
      <c r="G15" s="25">
        <v>0</v>
      </c>
      <c r="H15" s="24">
        <v>0</v>
      </c>
      <c r="I15" s="24"/>
      <c r="J15" s="24"/>
      <c r="K15" s="24"/>
      <c r="L15" s="24"/>
      <c r="M15" s="24"/>
    </row>
    <row r="16" spans="1:16" ht="33" hidden="1" outlineLevel="1" x14ac:dyDescent="0.25">
      <c r="A16" s="174"/>
      <c r="B16" s="164"/>
      <c r="C16" s="164"/>
      <c r="D16" s="26" t="s">
        <v>12</v>
      </c>
      <c r="E16" s="24">
        <f>SUM(F16:M16)</f>
        <v>0</v>
      </c>
      <c r="F16" s="27">
        <v>0</v>
      </c>
      <c r="G16" s="28">
        <v>0</v>
      </c>
      <c r="H16" s="27">
        <v>0</v>
      </c>
      <c r="I16" s="27"/>
      <c r="J16" s="27"/>
      <c r="K16" s="27"/>
      <c r="L16" s="27"/>
      <c r="M16" s="27"/>
      <c r="N16" s="8"/>
      <c r="O16" s="8"/>
      <c r="P16" s="9"/>
    </row>
    <row r="17" spans="1:16" hidden="1" outlineLevel="1" x14ac:dyDescent="0.25">
      <c r="A17" s="174"/>
      <c r="B17" s="164"/>
      <c r="C17" s="164"/>
      <c r="D17" s="26" t="s">
        <v>13</v>
      </c>
      <c r="E17" s="24">
        <f>SUM(F17:M17)</f>
        <v>0</v>
      </c>
      <c r="F17" s="29">
        <v>0</v>
      </c>
      <c r="G17" s="30">
        <v>0</v>
      </c>
      <c r="H17" s="29">
        <v>0</v>
      </c>
      <c r="I17" s="29"/>
      <c r="J17" s="29"/>
      <c r="K17" s="29"/>
      <c r="L17" s="29"/>
      <c r="M17" s="29"/>
      <c r="N17" s="8"/>
      <c r="O17" s="8"/>
      <c r="P17" s="9"/>
    </row>
    <row r="18" spans="1:16" ht="33" hidden="1" outlineLevel="1" x14ac:dyDescent="0.25">
      <c r="A18" s="174"/>
      <c r="B18" s="164"/>
      <c r="C18" s="164"/>
      <c r="D18" s="26" t="s">
        <v>14</v>
      </c>
      <c r="E18" s="23">
        <f>SUM(F18:M18)</f>
        <v>247.5</v>
      </c>
      <c r="F18" s="29">
        <f>50-2.5</f>
        <v>47.5</v>
      </c>
      <c r="G18" s="30">
        <v>200</v>
      </c>
      <c r="H18" s="29"/>
      <c r="I18" s="29"/>
      <c r="J18" s="29"/>
      <c r="K18" s="29"/>
      <c r="L18" s="29"/>
      <c r="M18" s="29"/>
      <c r="N18" s="8"/>
      <c r="O18" s="8"/>
      <c r="P18" s="9"/>
    </row>
    <row r="19" spans="1:16" hidden="1" outlineLevel="1" x14ac:dyDescent="0.25">
      <c r="A19" s="174"/>
      <c r="B19" s="164"/>
      <c r="C19" s="164"/>
      <c r="D19" s="26" t="s">
        <v>15</v>
      </c>
      <c r="E19" s="31" t="s">
        <v>30</v>
      </c>
      <c r="F19" s="27">
        <v>0</v>
      </c>
      <c r="G19" s="32">
        <v>0</v>
      </c>
      <c r="H19" s="27">
        <v>0</v>
      </c>
      <c r="I19" s="27"/>
      <c r="J19" s="27"/>
      <c r="K19" s="27"/>
      <c r="L19" s="27"/>
      <c r="M19" s="27"/>
      <c r="N19" s="8"/>
      <c r="O19" s="8"/>
      <c r="P19" s="9"/>
    </row>
    <row r="20" spans="1:16" outlineLevel="1" x14ac:dyDescent="0.25">
      <c r="A20" s="174" t="s">
        <v>9</v>
      </c>
      <c r="B20" s="164" t="s">
        <v>118</v>
      </c>
      <c r="C20" s="164" t="s">
        <v>26</v>
      </c>
      <c r="D20" s="22" t="s">
        <v>11</v>
      </c>
      <c r="E20" s="33">
        <f t="shared" ref="E20:E31" si="4">SUM(F20:M20)</f>
        <v>1394.30567</v>
      </c>
      <c r="F20" s="33">
        <f>SUM(F21:F25)</f>
        <v>279.96849000000003</v>
      </c>
      <c r="G20" s="34">
        <f t="shared" ref="G20:M20" si="5">SUM(G21:G25)</f>
        <v>303.22217999999998</v>
      </c>
      <c r="H20" s="33">
        <f t="shared" si="5"/>
        <v>301.11500000000001</v>
      </c>
      <c r="I20" s="33">
        <f t="shared" si="5"/>
        <v>300</v>
      </c>
      <c r="J20" s="33">
        <f t="shared" si="5"/>
        <v>0</v>
      </c>
      <c r="K20" s="33">
        <f t="shared" si="5"/>
        <v>105</v>
      </c>
      <c r="L20" s="33">
        <f t="shared" ref="L20" si="6">SUM(L21:L25)</f>
        <v>105</v>
      </c>
      <c r="M20" s="33">
        <f t="shared" si="5"/>
        <v>0</v>
      </c>
      <c r="N20" s="8"/>
      <c r="O20" s="8"/>
      <c r="P20" s="9"/>
    </row>
    <row r="21" spans="1:16" outlineLevel="1" x14ac:dyDescent="0.25">
      <c r="A21" s="174"/>
      <c r="B21" s="164"/>
      <c r="C21" s="164"/>
      <c r="D21" s="26" t="s">
        <v>25</v>
      </c>
      <c r="E21" s="35">
        <f t="shared" si="4"/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8"/>
      <c r="O21" s="8"/>
      <c r="P21" s="9"/>
    </row>
    <row r="22" spans="1:16" ht="33" outlineLevel="1" x14ac:dyDescent="0.25">
      <c r="A22" s="174"/>
      <c r="B22" s="164"/>
      <c r="C22" s="164"/>
      <c r="D22" s="26" t="s">
        <v>12</v>
      </c>
      <c r="E22" s="35">
        <f t="shared" si="4"/>
        <v>0</v>
      </c>
      <c r="F22" s="35">
        <v>0</v>
      </c>
      <c r="G22" s="36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8"/>
      <c r="O22" s="8"/>
      <c r="P22" s="9"/>
    </row>
    <row r="23" spans="1:16" outlineLevel="1" x14ac:dyDescent="0.25">
      <c r="A23" s="174"/>
      <c r="B23" s="164"/>
      <c r="C23" s="164"/>
      <c r="D23" s="26" t="s">
        <v>13</v>
      </c>
      <c r="E23" s="35">
        <f t="shared" si="4"/>
        <v>0</v>
      </c>
      <c r="F23" s="35">
        <v>0</v>
      </c>
      <c r="G23" s="38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8"/>
      <c r="O23" s="8"/>
      <c r="P23" s="9"/>
    </row>
    <row r="24" spans="1:16" ht="33.75" customHeight="1" outlineLevel="1" x14ac:dyDescent="0.25">
      <c r="A24" s="174"/>
      <c r="B24" s="164"/>
      <c r="C24" s="164"/>
      <c r="D24" s="26" t="s">
        <v>115</v>
      </c>
      <c r="E24" s="35">
        <f t="shared" si="4"/>
        <v>1394.30567</v>
      </c>
      <c r="F24" s="29">
        <f>590+18-33.95021-294.0813</f>
        <v>279.96849000000003</v>
      </c>
      <c r="G24" s="36">
        <f>1500-170-480-147.70282-52.29718-120-198.38891-28.38891</f>
        <v>303.22217999999998</v>
      </c>
      <c r="H24" s="37">
        <f>337.5-36.385</f>
        <v>301.11500000000001</v>
      </c>
      <c r="I24" s="37">
        <f>1300-900-100</f>
        <v>300</v>
      </c>
      <c r="J24" s="37">
        <f>320-107-118-95</f>
        <v>0</v>
      </c>
      <c r="K24" s="37">
        <f>105</f>
        <v>105</v>
      </c>
      <c r="L24" s="37">
        <f>105</f>
        <v>105</v>
      </c>
      <c r="M24" s="37">
        <v>0</v>
      </c>
      <c r="N24" s="8"/>
      <c r="O24" s="8"/>
      <c r="P24" s="12"/>
    </row>
    <row r="25" spans="1:16" ht="23.25" customHeight="1" outlineLevel="1" x14ac:dyDescent="0.25">
      <c r="A25" s="174"/>
      <c r="B25" s="164"/>
      <c r="C25" s="164"/>
      <c r="D25" s="26" t="s">
        <v>15</v>
      </c>
      <c r="E25" s="35">
        <f t="shared" si="4"/>
        <v>0</v>
      </c>
      <c r="F25" s="35">
        <f>1000-1000</f>
        <v>0</v>
      </c>
      <c r="G25" s="36"/>
      <c r="H25" s="37"/>
      <c r="I25" s="37"/>
      <c r="J25" s="37">
        <v>0</v>
      </c>
      <c r="K25" s="37">
        <v>0</v>
      </c>
      <c r="L25" s="37">
        <v>0</v>
      </c>
      <c r="M25" s="37">
        <v>0</v>
      </c>
      <c r="N25" s="8"/>
      <c r="O25" s="8"/>
      <c r="P25" s="9"/>
    </row>
    <row r="26" spans="1:16" outlineLevel="1" x14ac:dyDescent="0.25">
      <c r="A26" s="174" t="s">
        <v>17</v>
      </c>
      <c r="B26" s="164" t="s">
        <v>127</v>
      </c>
      <c r="C26" s="164" t="s">
        <v>27</v>
      </c>
      <c r="D26" s="73" t="s">
        <v>11</v>
      </c>
      <c r="E26" s="74">
        <f t="shared" si="4"/>
        <v>23074.703140000001</v>
      </c>
      <c r="F26" s="74">
        <f>SUM(F27:F31)</f>
        <v>2662.1393899999998</v>
      </c>
      <c r="G26" s="74">
        <f t="shared" ref="G26:M26" si="7">SUM(G27:G31)</f>
        <v>634.17238999999995</v>
      </c>
      <c r="H26" s="74">
        <f t="shared" si="7"/>
        <v>11373.28</v>
      </c>
      <c r="I26" s="74">
        <f t="shared" si="7"/>
        <v>2816.4883599999998</v>
      </c>
      <c r="J26" s="74">
        <f t="shared" si="7"/>
        <v>1563.123</v>
      </c>
      <c r="K26" s="74">
        <f t="shared" si="7"/>
        <v>425.5</v>
      </c>
      <c r="L26" s="74">
        <f t="shared" ref="L26" si="8">SUM(L27:L31)</f>
        <v>425.5</v>
      </c>
      <c r="M26" s="74">
        <f t="shared" si="7"/>
        <v>3174.5</v>
      </c>
      <c r="N26" s="8"/>
      <c r="O26" s="8"/>
      <c r="P26" s="9"/>
    </row>
    <row r="27" spans="1:16" outlineLevel="1" x14ac:dyDescent="0.25">
      <c r="A27" s="174"/>
      <c r="B27" s="164"/>
      <c r="C27" s="164"/>
      <c r="D27" s="26" t="s">
        <v>25</v>
      </c>
      <c r="E27" s="35">
        <f t="shared" si="4"/>
        <v>0</v>
      </c>
      <c r="F27" s="24">
        <v>0</v>
      </c>
      <c r="G27" s="25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8"/>
      <c r="O27" s="8"/>
      <c r="P27" s="9"/>
    </row>
    <row r="28" spans="1:16" ht="33" outlineLevel="1" x14ac:dyDescent="0.25">
      <c r="A28" s="174"/>
      <c r="B28" s="164"/>
      <c r="C28" s="164"/>
      <c r="D28" s="26" t="s">
        <v>12</v>
      </c>
      <c r="E28" s="35">
        <f t="shared" si="4"/>
        <v>0</v>
      </c>
      <c r="F28" s="35">
        <v>0</v>
      </c>
      <c r="G28" s="36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8"/>
      <c r="O28" s="8"/>
      <c r="P28" s="9"/>
    </row>
    <row r="29" spans="1:16" outlineLevel="1" x14ac:dyDescent="0.25">
      <c r="A29" s="174"/>
      <c r="B29" s="164"/>
      <c r="C29" s="164"/>
      <c r="D29" s="26" t="s">
        <v>13</v>
      </c>
      <c r="E29" s="35">
        <f t="shared" si="4"/>
        <v>10510</v>
      </c>
      <c r="F29" s="35">
        <v>0</v>
      </c>
      <c r="G29" s="36">
        <v>0</v>
      </c>
      <c r="H29" s="37">
        <f>2080+4850+4150-570</f>
        <v>10510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8"/>
      <c r="O29" s="8"/>
      <c r="P29" s="9"/>
    </row>
    <row r="30" spans="1:16" outlineLevel="1" x14ac:dyDescent="0.25">
      <c r="A30" s="174"/>
      <c r="B30" s="164"/>
      <c r="C30" s="164"/>
      <c r="D30" s="26" t="s">
        <v>115</v>
      </c>
      <c r="E30" s="35">
        <f t="shared" si="4"/>
        <v>11964.70314</v>
      </c>
      <c r="F30" s="35">
        <f>783.28117+78.85822+1800</f>
        <v>2662.1393899999998</v>
      </c>
      <c r="G30" s="36">
        <f>(600)+197.46+18.21044+4.86398+6.634-37.46-176.92494+28.38891-7</f>
        <v>634.17238999999995</v>
      </c>
      <c r="H30" s="37">
        <f>462.5+240+260-99.22</f>
        <v>863.28</v>
      </c>
      <c r="I30" s="37">
        <f>800+780+800+198.98836+137.5+100</f>
        <v>2816.4883599999998</v>
      </c>
      <c r="J30" s="37">
        <f>605+328+222.35928+118-310.23628</f>
        <v>963.12300000000005</v>
      </c>
      <c r="K30" s="37">
        <f>425.5</f>
        <v>425.5</v>
      </c>
      <c r="L30" s="37">
        <f>425.5</f>
        <v>425.5</v>
      </c>
      <c r="M30" s="37">
        <f>3600-L30</f>
        <v>3174.5</v>
      </c>
      <c r="N30" s="8"/>
      <c r="O30" s="8"/>
      <c r="P30" s="9"/>
    </row>
    <row r="31" spans="1:16" outlineLevel="1" x14ac:dyDescent="0.25">
      <c r="A31" s="174"/>
      <c r="B31" s="164"/>
      <c r="C31" s="164"/>
      <c r="D31" s="26" t="s">
        <v>15</v>
      </c>
      <c r="E31" s="35">
        <f t="shared" si="4"/>
        <v>600</v>
      </c>
      <c r="F31" s="35">
        <f>210-210</f>
        <v>0</v>
      </c>
      <c r="G31" s="36"/>
      <c r="H31" s="37"/>
      <c r="I31" s="37">
        <v>0</v>
      </c>
      <c r="J31" s="37">
        <f>600</f>
        <v>600</v>
      </c>
      <c r="K31" s="37">
        <v>0</v>
      </c>
      <c r="L31" s="37">
        <v>0</v>
      </c>
      <c r="M31" s="37">
        <v>0</v>
      </c>
      <c r="N31" s="8"/>
      <c r="O31" s="8"/>
      <c r="P31" s="9"/>
    </row>
    <row r="32" spans="1:16" outlineLevel="1" x14ac:dyDescent="0.25">
      <c r="A32" s="174"/>
      <c r="B32" s="164"/>
      <c r="C32" s="164" t="s">
        <v>19</v>
      </c>
      <c r="D32" s="73" t="s">
        <v>11</v>
      </c>
      <c r="E32" s="74">
        <f>+F32+G32+H32+I32+J32+K32+M32+L32</f>
        <v>7024.262459999999</v>
      </c>
      <c r="F32" s="74">
        <f>SUM(F34:F37)</f>
        <v>4470.5033599999997</v>
      </c>
      <c r="G32" s="74">
        <f t="shared" ref="G32:M32" si="9">SUM(G34:G37)</f>
        <v>2222.8998200000001</v>
      </c>
      <c r="H32" s="74">
        <f t="shared" si="9"/>
        <v>0</v>
      </c>
      <c r="I32" s="74">
        <f t="shared" si="9"/>
        <v>0</v>
      </c>
      <c r="J32" s="74">
        <f t="shared" si="9"/>
        <v>290.85928000000001</v>
      </c>
      <c r="K32" s="74">
        <f t="shared" si="9"/>
        <v>20</v>
      </c>
      <c r="L32" s="74">
        <f t="shared" ref="L32" si="10">SUM(L34:L37)</f>
        <v>20</v>
      </c>
      <c r="M32" s="74">
        <f t="shared" si="9"/>
        <v>0</v>
      </c>
      <c r="N32" s="8"/>
      <c r="O32" s="8"/>
      <c r="P32" s="9"/>
    </row>
    <row r="33" spans="1:16" outlineLevel="1" x14ac:dyDescent="0.25">
      <c r="A33" s="174"/>
      <c r="B33" s="164"/>
      <c r="C33" s="164"/>
      <c r="D33" s="26" t="s">
        <v>25</v>
      </c>
      <c r="E33" s="35">
        <f t="shared" ref="E33:E43" si="11">SUM(F33:M33)</f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8"/>
      <c r="O33" s="8"/>
      <c r="P33" s="9"/>
    </row>
    <row r="34" spans="1:16" ht="33" outlineLevel="1" x14ac:dyDescent="0.25">
      <c r="A34" s="174"/>
      <c r="B34" s="164"/>
      <c r="C34" s="164"/>
      <c r="D34" s="26" t="s">
        <v>12</v>
      </c>
      <c r="E34" s="35">
        <f t="shared" si="11"/>
        <v>0</v>
      </c>
      <c r="F34" s="35">
        <v>0</v>
      </c>
      <c r="G34" s="36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8"/>
      <c r="O34" s="8"/>
      <c r="P34" s="9"/>
    </row>
    <row r="35" spans="1:16" outlineLevel="1" x14ac:dyDescent="0.25">
      <c r="A35" s="174"/>
      <c r="B35" s="164"/>
      <c r="C35" s="164"/>
      <c r="D35" s="26" t="s">
        <v>13</v>
      </c>
      <c r="E35" s="35">
        <f t="shared" si="11"/>
        <v>0</v>
      </c>
      <c r="F35" s="35"/>
      <c r="G35" s="36"/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8"/>
      <c r="O35" s="8"/>
      <c r="P35" s="9"/>
    </row>
    <row r="36" spans="1:16" outlineLevel="1" x14ac:dyDescent="0.25">
      <c r="A36" s="174"/>
      <c r="B36" s="164"/>
      <c r="C36" s="164"/>
      <c r="D36" s="26" t="s">
        <v>115</v>
      </c>
      <c r="E36" s="35">
        <f>SUM(F36:M36)</f>
        <v>7024.262459999999</v>
      </c>
      <c r="F36" s="35">
        <f>592+111.11859+3529-78.85822-388.19+1086.80522-80-20-89.21955-192.15268</f>
        <v>4470.5033599999997</v>
      </c>
      <c r="G36" s="36">
        <f>2345.57+85.687-45.57-15.06567-147.72151</f>
        <v>2222.8998200000001</v>
      </c>
      <c r="H36" s="37">
        <v>0</v>
      </c>
      <c r="I36" s="37">
        <f>15.012-15.012</f>
        <v>0</v>
      </c>
      <c r="J36" s="37">
        <f>20+48.5+310.23628-87.877</f>
        <v>290.85928000000001</v>
      </c>
      <c r="K36" s="37">
        <f>20</f>
        <v>20</v>
      </c>
      <c r="L36" s="37">
        <f>20</f>
        <v>20</v>
      </c>
      <c r="M36" s="37">
        <v>0</v>
      </c>
      <c r="N36" s="8"/>
      <c r="O36" s="8"/>
      <c r="P36" s="9"/>
    </row>
    <row r="37" spans="1:16" outlineLevel="1" x14ac:dyDescent="0.25">
      <c r="A37" s="174"/>
      <c r="B37" s="164"/>
      <c r="C37" s="164"/>
      <c r="D37" s="26" t="s">
        <v>15</v>
      </c>
      <c r="E37" s="35">
        <f t="shared" si="11"/>
        <v>0</v>
      </c>
      <c r="F37" s="35">
        <f>27714.015-5184.015-22530</f>
        <v>0</v>
      </c>
      <c r="G37" s="36"/>
      <c r="H37" s="37"/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8"/>
      <c r="O37" s="8"/>
      <c r="P37" s="9"/>
    </row>
    <row r="38" spans="1:16" s="60" customFormat="1" x14ac:dyDescent="0.25">
      <c r="A38" s="185" t="s">
        <v>16</v>
      </c>
      <c r="B38" s="186"/>
      <c r="C38" s="187"/>
      <c r="D38" s="73" t="s">
        <v>11</v>
      </c>
      <c r="E38" s="74">
        <f t="shared" si="11"/>
        <v>32625.260330000001</v>
      </c>
      <c r="F38" s="74">
        <f>SUM(F39:F43)</f>
        <v>7846.1003000000001</v>
      </c>
      <c r="G38" s="74">
        <f>SUM(G39:G43)</f>
        <v>3858.79439</v>
      </c>
      <c r="H38" s="74">
        <f>SUM(H39:H43)</f>
        <v>11674.395</v>
      </c>
      <c r="I38" s="74">
        <f t="shared" ref="I38:M38" si="12">SUM(I39:I43)</f>
        <v>3116.4883599999998</v>
      </c>
      <c r="J38" s="74">
        <f t="shared" si="12"/>
        <v>1853.9822800000002</v>
      </c>
      <c r="K38" s="74">
        <f t="shared" si="12"/>
        <v>550.5</v>
      </c>
      <c r="L38" s="74">
        <f t="shared" ref="L38" si="13">SUM(L39:L43)</f>
        <v>550.5</v>
      </c>
      <c r="M38" s="74">
        <f t="shared" si="12"/>
        <v>3174.5</v>
      </c>
      <c r="N38" s="57"/>
      <c r="O38" s="58"/>
      <c r="P38" s="59"/>
    </row>
    <row r="39" spans="1:16" s="56" customFormat="1" outlineLevel="1" x14ac:dyDescent="0.25">
      <c r="A39" s="188"/>
      <c r="B39" s="189"/>
      <c r="C39" s="190"/>
      <c r="D39" s="92" t="s">
        <v>25</v>
      </c>
      <c r="E39" s="34">
        <f t="shared" si="11"/>
        <v>0</v>
      </c>
      <c r="F39" s="39">
        <f>F21+F27+F33+F15+F9</f>
        <v>0</v>
      </c>
      <c r="G39" s="39">
        <f t="shared" ref="G39:M39" si="14">G21+G27+G33+G15+G9</f>
        <v>0</v>
      </c>
      <c r="H39" s="39">
        <f t="shared" si="14"/>
        <v>0</v>
      </c>
      <c r="I39" s="39">
        <f t="shared" si="14"/>
        <v>0</v>
      </c>
      <c r="J39" s="39">
        <f t="shared" si="14"/>
        <v>0</v>
      </c>
      <c r="K39" s="39">
        <f t="shared" si="14"/>
        <v>0</v>
      </c>
      <c r="L39" s="39">
        <f t="shared" ref="L39" si="15">L21+L27+L33+L15+L9</f>
        <v>0</v>
      </c>
      <c r="M39" s="39">
        <f t="shared" si="14"/>
        <v>0</v>
      </c>
      <c r="N39" s="61"/>
      <c r="O39" s="61"/>
      <c r="P39" s="62"/>
    </row>
    <row r="40" spans="1:16" s="60" customFormat="1" ht="33" x14ac:dyDescent="0.25">
      <c r="A40" s="188"/>
      <c r="B40" s="189"/>
      <c r="C40" s="190"/>
      <c r="D40" s="92" t="s">
        <v>12</v>
      </c>
      <c r="E40" s="34">
        <f t="shared" si="11"/>
        <v>0</v>
      </c>
      <c r="F40" s="34">
        <f t="shared" ref="F40:M43" si="16">F22+F28+F34+F16+F10</f>
        <v>0</v>
      </c>
      <c r="G40" s="34">
        <f t="shared" si="16"/>
        <v>0</v>
      </c>
      <c r="H40" s="34">
        <f t="shared" si="16"/>
        <v>0</v>
      </c>
      <c r="I40" s="34">
        <f t="shared" si="16"/>
        <v>0</v>
      </c>
      <c r="J40" s="34">
        <f t="shared" si="16"/>
        <v>0</v>
      </c>
      <c r="K40" s="34">
        <f t="shared" si="16"/>
        <v>0</v>
      </c>
      <c r="L40" s="34">
        <f t="shared" ref="L40" si="17">L22+L28+L34+L16+L10</f>
        <v>0</v>
      </c>
      <c r="M40" s="34">
        <f t="shared" si="16"/>
        <v>0</v>
      </c>
      <c r="N40" s="58"/>
      <c r="O40" s="58"/>
      <c r="P40" s="59"/>
    </row>
    <row r="41" spans="1:16" s="60" customFormat="1" x14ac:dyDescent="0.25">
      <c r="A41" s="188"/>
      <c r="B41" s="189"/>
      <c r="C41" s="190"/>
      <c r="D41" s="92" t="s">
        <v>13</v>
      </c>
      <c r="E41" s="34">
        <f t="shared" si="11"/>
        <v>10510</v>
      </c>
      <c r="F41" s="34">
        <f t="shared" si="16"/>
        <v>0</v>
      </c>
      <c r="G41" s="34">
        <f t="shared" si="16"/>
        <v>0</v>
      </c>
      <c r="H41" s="34">
        <f t="shared" si="16"/>
        <v>10510</v>
      </c>
      <c r="I41" s="34">
        <f t="shared" si="16"/>
        <v>0</v>
      </c>
      <c r="J41" s="34">
        <f t="shared" si="16"/>
        <v>0</v>
      </c>
      <c r="K41" s="34">
        <f t="shared" si="16"/>
        <v>0</v>
      </c>
      <c r="L41" s="34">
        <f t="shared" ref="L41" si="18">L23+L29+L35+L17+L11</f>
        <v>0</v>
      </c>
      <c r="M41" s="34">
        <f t="shared" si="16"/>
        <v>0</v>
      </c>
      <c r="N41" s="58"/>
      <c r="O41" s="58"/>
      <c r="P41" s="59"/>
    </row>
    <row r="42" spans="1:16" s="60" customFormat="1" x14ac:dyDescent="0.25">
      <c r="A42" s="188"/>
      <c r="B42" s="189"/>
      <c r="C42" s="190"/>
      <c r="D42" s="92" t="s">
        <v>115</v>
      </c>
      <c r="E42" s="34">
        <f t="shared" si="11"/>
        <v>21515.260330000001</v>
      </c>
      <c r="F42" s="34">
        <f>F24+F30+F36+F18+F12</f>
        <v>7846.1003000000001</v>
      </c>
      <c r="G42" s="34">
        <f>G24+G30+G36+G18+G12</f>
        <v>3858.79439</v>
      </c>
      <c r="H42" s="34">
        <f>H24+H30+H36</f>
        <v>1164.395</v>
      </c>
      <c r="I42" s="34">
        <f t="shared" ref="I42:K42" si="19">I24+I30+I36</f>
        <v>3116.4883599999998</v>
      </c>
      <c r="J42" s="34">
        <f t="shared" si="19"/>
        <v>1253.9822800000002</v>
      </c>
      <c r="K42" s="34">
        <f t="shared" si="19"/>
        <v>550.5</v>
      </c>
      <c r="L42" s="34">
        <f>L24+L30+L36</f>
        <v>550.5</v>
      </c>
      <c r="M42" s="34">
        <f>M24+M30+M36</f>
        <v>3174.5</v>
      </c>
      <c r="N42" s="58"/>
      <c r="O42" s="58"/>
      <c r="P42" s="59"/>
    </row>
    <row r="43" spans="1:16" s="60" customFormat="1" x14ac:dyDescent="0.25">
      <c r="A43" s="191"/>
      <c r="B43" s="192"/>
      <c r="C43" s="193"/>
      <c r="D43" s="92" t="s">
        <v>15</v>
      </c>
      <c r="E43" s="34">
        <f t="shared" si="11"/>
        <v>600</v>
      </c>
      <c r="F43" s="34">
        <f t="shared" si="16"/>
        <v>0</v>
      </c>
      <c r="G43" s="34">
        <f>G25+G31+G37</f>
        <v>0</v>
      </c>
      <c r="H43" s="34">
        <f t="shared" si="16"/>
        <v>0</v>
      </c>
      <c r="I43" s="34">
        <f t="shared" si="16"/>
        <v>0</v>
      </c>
      <c r="J43" s="34">
        <f t="shared" si="16"/>
        <v>600</v>
      </c>
      <c r="K43" s="34">
        <f t="shared" si="16"/>
        <v>0</v>
      </c>
      <c r="L43" s="34">
        <f t="shared" ref="L43" si="20">L25+L31+L37+L19+L13</f>
        <v>0</v>
      </c>
      <c r="M43" s="34">
        <f t="shared" si="16"/>
        <v>0</v>
      </c>
      <c r="N43" s="58"/>
      <c r="O43" s="58"/>
      <c r="P43" s="59"/>
    </row>
    <row r="44" spans="1:16" s="65" customFormat="1" ht="21.75" customHeight="1" x14ac:dyDescent="0.25">
      <c r="A44" s="207" t="s">
        <v>43</v>
      </c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63"/>
      <c r="O44" s="63"/>
      <c r="P44" s="64"/>
    </row>
    <row r="45" spans="1:16" s="4" customFormat="1" outlineLevel="1" x14ac:dyDescent="0.25">
      <c r="A45" s="174"/>
      <c r="B45" s="208" t="s">
        <v>126</v>
      </c>
      <c r="C45" s="164" t="s">
        <v>27</v>
      </c>
      <c r="D45" s="73" t="s">
        <v>11</v>
      </c>
      <c r="E45" s="74">
        <f t="shared" ref="E45:E74" si="21">SUM(F45:M45)</f>
        <v>694262.51821999985</v>
      </c>
      <c r="F45" s="74">
        <f>SUM(F46:F50)</f>
        <v>48128.578999999998</v>
      </c>
      <c r="G45" s="74">
        <f>SUM(G46:G50)</f>
        <v>176628.53832999998</v>
      </c>
      <c r="H45" s="74">
        <f t="shared" ref="H45:M45" si="22">SUM(H46:H50)</f>
        <v>167398.40081000002</v>
      </c>
      <c r="I45" s="74">
        <f t="shared" si="22"/>
        <v>273944.8652399999</v>
      </c>
      <c r="J45" s="74">
        <f t="shared" si="22"/>
        <v>28162.134839999999</v>
      </c>
      <c r="K45" s="74">
        <f t="shared" si="22"/>
        <v>0</v>
      </c>
      <c r="L45" s="74">
        <f t="shared" ref="L45" si="23">SUM(L46:L50)</f>
        <v>0</v>
      </c>
      <c r="M45" s="74">
        <f t="shared" si="22"/>
        <v>0</v>
      </c>
      <c r="N45" s="7"/>
      <c r="O45" s="7"/>
    </row>
    <row r="46" spans="1:16" outlineLevel="1" x14ac:dyDescent="0.25">
      <c r="A46" s="174"/>
      <c r="B46" s="208"/>
      <c r="C46" s="164"/>
      <c r="D46" s="26" t="s">
        <v>25</v>
      </c>
      <c r="E46" s="35">
        <f t="shared" si="21"/>
        <v>0</v>
      </c>
      <c r="F46" s="35">
        <v>0</v>
      </c>
      <c r="G46" s="38">
        <v>0</v>
      </c>
      <c r="H46" s="35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</row>
    <row r="47" spans="1:16" s="4" customFormat="1" ht="33" outlineLevel="1" x14ac:dyDescent="0.25">
      <c r="A47" s="174"/>
      <c r="B47" s="208"/>
      <c r="C47" s="164"/>
      <c r="D47" s="26" t="s">
        <v>12</v>
      </c>
      <c r="E47" s="35">
        <f t="shared" si="21"/>
        <v>584650.50157999992</v>
      </c>
      <c r="F47" s="35">
        <f>0+20558.29156</f>
        <v>20558.291560000001</v>
      </c>
      <c r="G47" s="38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47" s="35">
        <f>1998.94+2832.87+52759.2+82520.8+5402.0232+3453.75253-105.69142-165.30344</f>
        <v>148696.59087000001</v>
      </c>
      <c r="I47" s="35">
        <f>126438.295+19784.7+30945.3+10620.17521+16611.0433+3154.13535+4933.39121+4880.07669+7632.9415+737.2404+1153.1196+2599.94663+1057.6137+4066.58324+1654.2163+421.84034+659.80158+1110.72+1737.28+1408.8789+2203.6311+0.00001-0.00002</f>
        <v>243810.93003999992</v>
      </c>
      <c r="J47" s="35">
        <f>10614.9+3769.4</f>
        <v>14384.3</v>
      </c>
      <c r="K47" s="33">
        <v>0</v>
      </c>
      <c r="L47" s="33">
        <v>0</v>
      </c>
      <c r="M47" s="33">
        <v>0</v>
      </c>
      <c r="N47" s="7"/>
      <c r="O47" s="7"/>
    </row>
    <row r="48" spans="1:16" s="4" customFormat="1" outlineLevel="1" x14ac:dyDescent="0.25">
      <c r="A48" s="174"/>
      <c r="B48" s="208"/>
      <c r="C48" s="164"/>
      <c r="D48" s="26" t="s">
        <v>13</v>
      </c>
      <c r="E48" s="35">
        <f t="shared" si="21"/>
        <v>95834.181800000006</v>
      </c>
      <c r="F48" s="35">
        <f>25029.375+2540.91244</f>
        <v>27570.28744</v>
      </c>
      <c r="G48" s="38">
        <f>837.25444+118.19372+11000+10048.5-3974.42603-2154.39127+798.30878-1996.68398+895.18693+1800.06315-1800.06315+488.23861-0.00001-980.41541+3177.19151+1171.19193</f>
        <v>19428.149220000003</v>
      </c>
      <c r="H48" s="35">
        <f>247.06+350.13+16720+1094.53521-33.49446+323.57919</f>
        <v>18701.809939999996</v>
      </c>
      <c r="I48" s="35">
        <f>15627.205+6270+3365.65623+999.58194+1546.55281+233.64+823.95313+335.17+133.68608+352+446.49+0.00001</f>
        <v>30133.935200000004</v>
      </c>
      <c r="J48" s="33">
        <v>0</v>
      </c>
      <c r="K48" s="33">
        <v>0</v>
      </c>
      <c r="L48" s="33">
        <v>0</v>
      </c>
      <c r="M48" s="33">
        <v>0</v>
      </c>
      <c r="N48" s="7"/>
      <c r="O48" s="7"/>
    </row>
    <row r="49" spans="1:16" s="4" customFormat="1" outlineLevel="1" x14ac:dyDescent="0.25">
      <c r="A49" s="174"/>
      <c r="B49" s="208"/>
      <c r="C49" s="164"/>
      <c r="D49" s="26" t="s">
        <v>115</v>
      </c>
      <c r="E49" s="35">
        <f t="shared" si="21"/>
        <v>1777.83484</v>
      </c>
      <c r="F49" s="35">
        <f>333-333</f>
        <v>0</v>
      </c>
      <c r="G49" s="38">
        <v>0</v>
      </c>
      <c r="H49" s="35">
        <v>0</v>
      </c>
      <c r="I49" s="35">
        <v>0</v>
      </c>
      <c r="J49" s="35">
        <v>1777.83484</v>
      </c>
      <c r="K49" s="35">
        <v>0</v>
      </c>
      <c r="L49" s="35">
        <v>0</v>
      </c>
      <c r="M49" s="35">
        <v>0</v>
      </c>
      <c r="N49" s="7"/>
      <c r="O49" s="7"/>
    </row>
    <row r="50" spans="1:16" s="4" customFormat="1" outlineLevel="1" x14ac:dyDescent="0.25">
      <c r="A50" s="174"/>
      <c r="B50" s="208"/>
      <c r="C50" s="164"/>
      <c r="D50" s="26" t="s">
        <v>15</v>
      </c>
      <c r="E50" s="35">
        <f t="shared" si="21"/>
        <v>12000</v>
      </c>
      <c r="F50" s="35">
        <f>16628.504-16628.504</f>
        <v>0</v>
      </c>
      <c r="G50" s="38">
        <f>61000-7611.404-956.29461-118.19372-52314.10767</f>
        <v>0</v>
      </c>
      <c r="H50" s="35"/>
      <c r="I50" s="35">
        <v>0</v>
      </c>
      <c r="J50" s="35">
        <v>12000</v>
      </c>
      <c r="K50" s="35">
        <v>0</v>
      </c>
      <c r="L50" s="35">
        <v>0</v>
      </c>
      <c r="M50" s="35">
        <v>0</v>
      </c>
      <c r="N50" s="7"/>
      <c r="O50" s="7"/>
    </row>
    <row r="51" spans="1:16" s="4" customFormat="1" outlineLevel="1" x14ac:dyDescent="0.25">
      <c r="A51" s="174" t="s">
        <v>9</v>
      </c>
      <c r="B51" s="208" t="s">
        <v>123</v>
      </c>
      <c r="C51" s="164" t="s">
        <v>19</v>
      </c>
      <c r="D51" s="73" t="s">
        <v>11</v>
      </c>
      <c r="E51" s="74">
        <f t="shared" si="21"/>
        <v>25517.307849999997</v>
      </c>
      <c r="F51" s="74">
        <f>SUM(F52:F56)</f>
        <v>16877.197059999999</v>
      </c>
      <c r="G51" s="74">
        <f>SUM(G52:G56)</f>
        <v>7219.8305500000006</v>
      </c>
      <c r="H51" s="74">
        <f t="shared" ref="H51" si="24">SUM(H52:H56)</f>
        <v>799.38179000000002</v>
      </c>
      <c r="I51" s="74">
        <f t="shared" ref="I51:M51" si="25">SUM(I52:I56)</f>
        <v>620.89844999999991</v>
      </c>
      <c r="J51" s="74">
        <f t="shared" si="25"/>
        <v>0</v>
      </c>
      <c r="K51" s="74">
        <f t="shared" si="25"/>
        <v>0</v>
      </c>
      <c r="L51" s="74">
        <f t="shared" ref="L51" si="26">SUM(L52:L56)</f>
        <v>0</v>
      </c>
      <c r="M51" s="74">
        <f t="shared" si="25"/>
        <v>0</v>
      </c>
      <c r="N51" s="10"/>
      <c r="O51" s="10"/>
      <c r="P51" s="11"/>
    </row>
    <row r="52" spans="1:16" outlineLevel="1" x14ac:dyDescent="0.25">
      <c r="A52" s="174"/>
      <c r="B52" s="208"/>
      <c r="C52" s="164"/>
      <c r="D52" s="26" t="s">
        <v>25</v>
      </c>
      <c r="E52" s="33">
        <f t="shared" si="21"/>
        <v>0</v>
      </c>
      <c r="F52" s="24">
        <v>0</v>
      </c>
      <c r="G52" s="25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8"/>
      <c r="O52" s="8"/>
      <c r="P52" s="9"/>
    </row>
    <row r="53" spans="1:16" s="4" customFormat="1" ht="33" outlineLevel="1" x14ac:dyDescent="0.25">
      <c r="A53" s="174"/>
      <c r="B53" s="208"/>
      <c r="C53" s="164"/>
      <c r="D53" s="26" t="s">
        <v>12</v>
      </c>
      <c r="E53" s="33">
        <f t="shared" si="21"/>
        <v>16247.138920000001</v>
      </c>
      <c r="F53" s="33">
        <v>12542.654990000001</v>
      </c>
      <c r="G53" s="38">
        <f>7058.64073+1226.51377-2497.55733-2083.11324</f>
        <v>3704.4839300000008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10"/>
      <c r="O53" s="10"/>
      <c r="P53" s="11"/>
    </row>
    <row r="54" spans="1:16" s="4" customFormat="1" outlineLevel="1" x14ac:dyDescent="0.25">
      <c r="A54" s="174"/>
      <c r="B54" s="208"/>
      <c r="C54" s="164"/>
      <c r="D54" s="26" t="s">
        <v>13</v>
      </c>
      <c r="E54" s="35">
        <f t="shared" si="21"/>
        <v>8525.5537000000004</v>
      </c>
      <c r="F54" s="35">
        <f>1550.21578+2784.32629</f>
        <v>4334.5420699999995</v>
      </c>
      <c r="G54" s="38">
        <f>872.41627+151.59159+3057.48905-308.68686-257.46343</f>
        <v>3515.3466200000003</v>
      </c>
      <c r="H54" s="35">
        <v>675.66501000000005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10"/>
      <c r="O54" s="10"/>
      <c r="P54" s="11"/>
    </row>
    <row r="55" spans="1:16" s="4" customFormat="1" outlineLevel="1" x14ac:dyDescent="0.25">
      <c r="A55" s="174"/>
      <c r="B55" s="208"/>
      <c r="C55" s="164"/>
      <c r="D55" s="26" t="s">
        <v>115</v>
      </c>
      <c r="E55" s="35">
        <f t="shared" si="21"/>
        <v>744.61522999999988</v>
      </c>
      <c r="F55" s="35">
        <f>88.87919-88.87919</f>
        <v>0</v>
      </c>
      <c r="G55" s="38"/>
      <c r="H55" s="35">
        <v>123.71678</v>
      </c>
      <c r="I55" s="35">
        <f>1272.7872+150-597.846-204.04275</f>
        <v>620.89844999999991</v>
      </c>
      <c r="J55" s="35">
        <v>0</v>
      </c>
      <c r="K55" s="35">
        <v>0</v>
      </c>
      <c r="L55" s="35">
        <v>0</v>
      </c>
      <c r="M55" s="35">
        <v>0</v>
      </c>
      <c r="N55" s="10"/>
      <c r="O55" s="10"/>
      <c r="P55" s="11"/>
    </row>
    <row r="56" spans="1:16" s="4" customFormat="1" outlineLevel="1" x14ac:dyDescent="0.25">
      <c r="A56" s="174"/>
      <c r="B56" s="208"/>
      <c r="C56" s="164"/>
      <c r="D56" s="26" t="s">
        <v>15</v>
      </c>
      <c r="E56" s="35">
        <f t="shared" si="21"/>
        <v>0</v>
      </c>
      <c r="F56" s="35">
        <v>0</v>
      </c>
      <c r="G56" s="38">
        <f>3750-3750</f>
        <v>0</v>
      </c>
      <c r="H56" s="35"/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10"/>
      <c r="O56" s="10"/>
      <c r="P56" s="11"/>
    </row>
    <row r="57" spans="1:16" s="4" customFormat="1" outlineLevel="1" x14ac:dyDescent="0.25">
      <c r="A57" s="174" t="s">
        <v>17</v>
      </c>
      <c r="B57" s="208" t="s">
        <v>119</v>
      </c>
      <c r="C57" s="164" t="s">
        <v>19</v>
      </c>
      <c r="D57" s="73" t="s">
        <v>11</v>
      </c>
      <c r="E57" s="74">
        <f t="shared" si="21"/>
        <v>33298.154690000003</v>
      </c>
      <c r="F57" s="74">
        <f>SUM(F58:F62)</f>
        <v>930</v>
      </c>
      <c r="G57" s="74">
        <f t="shared" ref="G57:M57" si="27">SUM(G58:G62)</f>
        <v>7424.6073199999992</v>
      </c>
      <c r="H57" s="74">
        <f t="shared" si="27"/>
        <v>14655.516140000002</v>
      </c>
      <c r="I57" s="74">
        <f t="shared" si="27"/>
        <v>7435.6651400000001</v>
      </c>
      <c r="J57" s="74">
        <f t="shared" si="27"/>
        <v>2852.36609</v>
      </c>
      <c r="K57" s="74">
        <f t="shared" si="27"/>
        <v>0</v>
      </c>
      <c r="L57" s="74">
        <f t="shared" ref="L57" si="28">SUM(L58:L62)</f>
        <v>0</v>
      </c>
      <c r="M57" s="74">
        <f t="shared" si="27"/>
        <v>0</v>
      </c>
      <c r="N57" s="10"/>
      <c r="O57" s="10"/>
      <c r="P57" s="11"/>
    </row>
    <row r="58" spans="1:16" outlineLevel="1" x14ac:dyDescent="0.25">
      <c r="A58" s="174"/>
      <c r="B58" s="208"/>
      <c r="C58" s="164"/>
      <c r="D58" s="26" t="s">
        <v>25</v>
      </c>
      <c r="E58" s="33">
        <f t="shared" si="21"/>
        <v>0</v>
      </c>
      <c r="F58" s="40">
        <v>0</v>
      </c>
      <c r="G58" s="41">
        <v>0</v>
      </c>
      <c r="H58" s="40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8"/>
      <c r="O58" s="8"/>
      <c r="P58" s="9"/>
    </row>
    <row r="59" spans="1:16" s="4" customFormat="1" ht="33" outlineLevel="1" x14ac:dyDescent="0.25">
      <c r="A59" s="174"/>
      <c r="B59" s="208"/>
      <c r="C59" s="164"/>
      <c r="D59" s="26" t="s">
        <v>12</v>
      </c>
      <c r="E59" s="33">
        <f t="shared" si="21"/>
        <v>22938.958169999998</v>
      </c>
      <c r="F59" s="40">
        <v>0</v>
      </c>
      <c r="G59" s="41">
        <f>7789.54856+4143.71142-5940.41601</f>
        <v>5992.843969999999</v>
      </c>
      <c r="H59" s="40">
        <f>5882.86+12799.27392-4868.76978-1013.12298-2366.8+207.98232</f>
        <v>10641.423480000001</v>
      </c>
      <c r="I59" s="35">
        <f>12976.67173+381.4-7053.38101</f>
        <v>6304.6907199999996</v>
      </c>
      <c r="J59" s="33">
        <v>0</v>
      </c>
      <c r="K59" s="33">
        <v>0</v>
      </c>
      <c r="L59" s="33">
        <v>0</v>
      </c>
      <c r="M59" s="33">
        <v>0</v>
      </c>
      <c r="N59" s="10"/>
      <c r="O59" s="10"/>
      <c r="P59" s="11"/>
    </row>
    <row r="60" spans="1:16" s="4" customFormat="1" outlineLevel="1" x14ac:dyDescent="0.25">
      <c r="A60" s="174"/>
      <c r="B60" s="208"/>
      <c r="C60" s="164"/>
      <c r="D60" s="26" t="s">
        <v>13</v>
      </c>
      <c r="E60" s="35">
        <f t="shared" si="21"/>
        <v>3029.0126899999996</v>
      </c>
      <c r="F60" s="40"/>
      <c r="G60" s="41">
        <f>962.75324+512.14432-734.20897</f>
        <v>740.68858999999986</v>
      </c>
      <c r="H60" s="40">
        <f>727.09506+1581.93274-427.54846+427.54846-233.688+25.70568-591.95282</f>
        <v>1509.0926599999998</v>
      </c>
      <c r="I60" s="35">
        <f>1603.8583+47.13933-871.76619</f>
        <v>779.23144000000002</v>
      </c>
      <c r="J60" s="33">
        <v>0</v>
      </c>
      <c r="K60" s="33">
        <v>0</v>
      </c>
      <c r="L60" s="33">
        <v>0</v>
      </c>
      <c r="M60" s="33">
        <v>0</v>
      </c>
      <c r="N60" s="10"/>
      <c r="O60" s="10"/>
      <c r="P60" s="11"/>
    </row>
    <row r="61" spans="1:16" s="4" customFormat="1" outlineLevel="1" x14ac:dyDescent="0.25">
      <c r="A61" s="174"/>
      <c r="B61" s="208"/>
      <c r="C61" s="164"/>
      <c r="D61" s="26" t="s">
        <v>115</v>
      </c>
      <c r="E61" s="35">
        <f t="shared" si="21"/>
        <v>7330.1838299999999</v>
      </c>
      <c r="F61" s="40">
        <f>0+930</f>
        <v>930</v>
      </c>
      <c r="G61" s="41">
        <f>405+253.03+90-56.95524</f>
        <v>691.07475999999997</v>
      </c>
      <c r="H61" s="40">
        <f>450+2490-400-35</f>
        <v>2505</v>
      </c>
      <c r="I61" s="35">
        <f>1170+597.846-800+488.97255-1105.07557</f>
        <v>351.74297999999999</v>
      </c>
      <c r="J61" s="35">
        <f>2852.36609</f>
        <v>2852.36609</v>
      </c>
      <c r="K61" s="35">
        <v>0</v>
      </c>
      <c r="L61" s="35">
        <v>0</v>
      </c>
      <c r="M61" s="35">
        <v>0</v>
      </c>
      <c r="N61" s="10"/>
      <c r="O61" s="10"/>
      <c r="P61" s="11"/>
    </row>
    <row r="62" spans="1:16" s="4" customFormat="1" outlineLevel="1" x14ac:dyDescent="0.25">
      <c r="A62" s="174"/>
      <c r="B62" s="208"/>
      <c r="C62" s="164"/>
      <c r="D62" s="26" t="s">
        <v>15</v>
      </c>
      <c r="E62" s="35">
        <f t="shared" si="21"/>
        <v>0</v>
      </c>
      <c r="F62" s="35">
        <f>5400-930-4470</f>
        <v>0</v>
      </c>
      <c r="G62" s="38"/>
      <c r="H62" s="35"/>
      <c r="I62" s="35"/>
      <c r="J62" s="35">
        <v>0</v>
      </c>
      <c r="K62" s="35">
        <v>0</v>
      </c>
      <c r="L62" s="35">
        <v>0</v>
      </c>
      <c r="M62" s="35">
        <v>0</v>
      </c>
      <c r="N62" s="10"/>
      <c r="O62" s="10"/>
      <c r="P62" s="11"/>
    </row>
    <row r="63" spans="1:16" s="4" customFormat="1" ht="16.5" customHeight="1" outlineLevel="1" x14ac:dyDescent="0.25">
      <c r="A63" s="174" t="s">
        <v>20</v>
      </c>
      <c r="B63" s="164" t="s">
        <v>124</v>
      </c>
      <c r="C63" s="164" t="s">
        <v>27</v>
      </c>
      <c r="D63" s="73" t="s">
        <v>11</v>
      </c>
      <c r="E63" s="74">
        <f t="shared" si="21"/>
        <v>72248.192609999998</v>
      </c>
      <c r="F63" s="74">
        <f>SUM(F64:F68)</f>
        <v>6149.1889199999996</v>
      </c>
      <c r="G63" s="74">
        <f t="shared" ref="G63:M63" si="29">SUM(G64:G68)</f>
        <v>7658.29565</v>
      </c>
      <c r="H63" s="74">
        <f t="shared" si="29"/>
        <v>9939.3850000000002</v>
      </c>
      <c r="I63" s="74">
        <f t="shared" si="29"/>
        <v>13806.396379999998</v>
      </c>
      <c r="J63" s="74">
        <f t="shared" si="29"/>
        <v>14014.926659999999</v>
      </c>
      <c r="K63" s="74">
        <f t="shared" si="29"/>
        <v>9640</v>
      </c>
      <c r="L63" s="74">
        <f t="shared" ref="L63" si="30">SUM(L64:L68)</f>
        <v>8662.2000000000007</v>
      </c>
      <c r="M63" s="74">
        <f t="shared" si="29"/>
        <v>2377.7999999999993</v>
      </c>
      <c r="N63" s="10"/>
      <c r="O63" s="10"/>
      <c r="P63" s="11"/>
    </row>
    <row r="64" spans="1:16" ht="17.25" customHeight="1" outlineLevel="1" x14ac:dyDescent="0.25">
      <c r="A64" s="174"/>
      <c r="B64" s="164"/>
      <c r="C64" s="164"/>
      <c r="D64" s="26" t="s">
        <v>25</v>
      </c>
      <c r="E64" s="35">
        <f t="shared" si="21"/>
        <v>0</v>
      </c>
      <c r="F64" s="24">
        <v>0</v>
      </c>
      <c r="G64" s="25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8"/>
      <c r="O64" s="8"/>
      <c r="P64" s="9"/>
    </row>
    <row r="65" spans="1:16" s="4" customFormat="1" ht="33" outlineLevel="1" x14ac:dyDescent="0.25">
      <c r="A65" s="174"/>
      <c r="B65" s="164"/>
      <c r="C65" s="164"/>
      <c r="D65" s="26" t="s">
        <v>12</v>
      </c>
      <c r="E65" s="35">
        <f t="shared" si="21"/>
        <v>0</v>
      </c>
      <c r="F65" s="24">
        <v>0</v>
      </c>
      <c r="G65" s="25">
        <v>0</v>
      </c>
      <c r="H65" s="24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10"/>
      <c r="O65" s="10"/>
      <c r="P65" s="11"/>
    </row>
    <row r="66" spans="1:16" s="4" customFormat="1" outlineLevel="1" x14ac:dyDescent="0.25">
      <c r="A66" s="174"/>
      <c r="B66" s="164"/>
      <c r="C66" s="164"/>
      <c r="D66" s="26" t="s">
        <v>13</v>
      </c>
      <c r="E66" s="35">
        <f t="shared" si="21"/>
        <v>0</v>
      </c>
      <c r="F66" s="24">
        <v>0</v>
      </c>
      <c r="G66" s="25">
        <v>0</v>
      </c>
      <c r="H66" s="24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10"/>
      <c r="O66" s="10"/>
      <c r="P66" s="11"/>
    </row>
    <row r="67" spans="1:16" s="4" customFormat="1" outlineLevel="1" x14ac:dyDescent="0.25">
      <c r="A67" s="174"/>
      <c r="B67" s="164"/>
      <c r="C67" s="164"/>
      <c r="D67" s="26" t="s">
        <v>115</v>
      </c>
      <c r="E67" s="35">
        <f t="shared" si="21"/>
        <v>67748.192609999998</v>
      </c>
      <c r="F67" s="35">
        <f>6021.26592+200-33.687+120-170+11.61</f>
        <v>6149.1889199999996</v>
      </c>
      <c r="G67" s="38">
        <f>1840-200+600+200+200+443.34041+300+1000+375+32+863+195+73+80+56.95524+2500-900</f>
        <v>7658.29565</v>
      </c>
      <c r="H67" s="35">
        <f>2965+1573+1620+3500+15+36.385+230</f>
        <v>9939.3850000000002</v>
      </c>
      <c r="I67" s="35">
        <f>5067+4000+100+2391.82439+135.61978-40.09164-43.26016+1688.54251+506.7615</f>
        <v>13806.396379999998</v>
      </c>
      <c r="J67" s="35">
        <f>6212+1879.92895+149.49237+179.46258+95+999.04276</f>
        <v>9514.9266599999992</v>
      </c>
      <c r="K67" s="35">
        <f>9640</f>
        <v>9640</v>
      </c>
      <c r="L67" s="35">
        <f>8662.2</f>
        <v>8662.2000000000007</v>
      </c>
      <c r="M67" s="35">
        <f>11040-L67</f>
        <v>2377.7999999999993</v>
      </c>
      <c r="N67" s="10"/>
      <c r="O67" s="10"/>
      <c r="P67" s="11"/>
    </row>
    <row r="68" spans="1:16" s="4" customFormat="1" outlineLevel="1" x14ac:dyDescent="0.25">
      <c r="A68" s="174"/>
      <c r="B68" s="164"/>
      <c r="C68" s="164"/>
      <c r="D68" s="26" t="s">
        <v>15</v>
      </c>
      <c r="E68" s="35">
        <f t="shared" si="21"/>
        <v>4500</v>
      </c>
      <c r="F68" s="33">
        <v>0</v>
      </c>
      <c r="G68" s="38"/>
      <c r="H68" s="35"/>
      <c r="I68" s="35">
        <v>0</v>
      </c>
      <c r="J68" s="35">
        <f>4500</f>
        <v>4500</v>
      </c>
      <c r="K68" s="35">
        <v>0</v>
      </c>
      <c r="L68" s="35">
        <v>0</v>
      </c>
      <c r="M68" s="35">
        <v>0</v>
      </c>
      <c r="N68" s="10"/>
      <c r="O68" s="10"/>
      <c r="P68" s="11"/>
    </row>
    <row r="69" spans="1:16" s="4" customFormat="1" outlineLevel="1" x14ac:dyDescent="0.25">
      <c r="A69" s="174"/>
      <c r="B69" s="164"/>
      <c r="C69" s="206" t="s">
        <v>19</v>
      </c>
      <c r="D69" s="73" t="s">
        <v>11</v>
      </c>
      <c r="E69" s="74">
        <f t="shared" si="21"/>
        <v>1300</v>
      </c>
      <c r="F69" s="74">
        <f>SUM(F70:F74)</f>
        <v>0</v>
      </c>
      <c r="G69" s="74">
        <f t="shared" ref="G69:M69" si="31">SUM(G70:G74)</f>
        <v>200</v>
      </c>
      <c r="H69" s="74">
        <f t="shared" si="31"/>
        <v>200</v>
      </c>
      <c r="I69" s="74">
        <f t="shared" si="31"/>
        <v>200</v>
      </c>
      <c r="J69" s="74">
        <f t="shared" si="31"/>
        <v>200</v>
      </c>
      <c r="K69" s="74">
        <f t="shared" si="31"/>
        <v>250</v>
      </c>
      <c r="L69" s="74">
        <f t="shared" si="31"/>
        <v>250</v>
      </c>
      <c r="M69" s="74">
        <f t="shared" si="31"/>
        <v>0</v>
      </c>
      <c r="N69" s="10"/>
      <c r="O69" s="10"/>
      <c r="P69" s="11"/>
    </row>
    <row r="70" spans="1:16" outlineLevel="1" x14ac:dyDescent="0.25">
      <c r="A70" s="174"/>
      <c r="B70" s="164"/>
      <c r="C70" s="206"/>
      <c r="D70" s="26" t="s">
        <v>25</v>
      </c>
      <c r="E70" s="35">
        <f t="shared" si="21"/>
        <v>0</v>
      </c>
      <c r="F70" s="24">
        <v>0</v>
      </c>
      <c r="G70" s="25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8"/>
      <c r="O70" s="8"/>
      <c r="P70" s="9"/>
    </row>
    <row r="71" spans="1:16" s="4" customFormat="1" ht="33" outlineLevel="1" x14ac:dyDescent="0.25">
      <c r="A71" s="174"/>
      <c r="B71" s="164"/>
      <c r="C71" s="206"/>
      <c r="D71" s="26" t="s">
        <v>12</v>
      </c>
      <c r="E71" s="35">
        <f t="shared" si="21"/>
        <v>0</v>
      </c>
      <c r="F71" s="24">
        <v>0</v>
      </c>
      <c r="G71" s="25">
        <v>0</v>
      </c>
      <c r="H71" s="24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10"/>
      <c r="O71" s="10"/>
      <c r="P71" s="11"/>
    </row>
    <row r="72" spans="1:16" s="4" customFormat="1" outlineLevel="1" x14ac:dyDescent="0.25">
      <c r="A72" s="174"/>
      <c r="B72" s="164"/>
      <c r="C72" s="206"/>
      <c r="D72" s="26" t="s">
        <v>13</v>
      </c>
      <c r="E72" s="35">
        <f t="shared" si="21"/>
        <v>0</v>
      </c>
      <c r="F72" s="24">
        <v>0</v>
      </c>
      <c r="G72" s="25">
        <v>0</v>
      </c>
      <c r="H72" s="24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10"/>
      <c r="O72" s="10"/>
      <c r="P72" s="11"/>
    </row>
    <row r="73" spans="1:16" s="4" customFormat="1" outlineLevel="1" x14ac:dyDescent="0.25">
      <c r="A73" s="174"/>
      <c r="B73" s="164"/>
      <c r="C73" s="206"/>
      <c r="D73" s="26" t="s">
        <v>115</v>
      </c>
      <c r="E73" s="35">
        <f t="shared" si="21"/>
        <v>1300</v>
      </c>
      <c r="F73" s="35">
        <v>0</v>
      </c>
      <c r="G73" s="38">
        <v>200</v>
      </c>
      <c r="H73" s="35">
        <v>200</v>
      </c>
      <c r="I73" s="35">
        <v>200</v>
      </c>
      <c r="J73" s="35">
        <f>250-50</f>
        <v>200</v>
      </c>
      <c r="K73" s="35">
        <f>250</f>
        <v>250</v>
      </c>
      <c r="L73" s="35">
        <f>250</f>
        <v>250</v>
      </c>
      <c r="M73" s="35"/>
      <c r="N73" s="7"/>
      <c r="O73" s="7"/>
    </row>
    <row r="74" spans="1:16" s="4" customFormat="1" outlineLevel="1" x14ac:dyDescent="0.25">
      <c r="A74" s="174"/>
      <c r="B74" s="164"/>
      <c r="C74" s="206"/>
      <c r="D74" s="26" t="s">
        <v>15</v>
      </c>
      <c r="E74" s="35">
        <f t="shared" si="21"/>
        <v>0</v>
      </c>
      <c r="F74" s="24">
        <v>0</v>
      </c>
      <c r="G74" s="25">
        <v>0</v>
      </c>
      <c r="H74" s="24"/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7"/>
      <c r="O74" s="7"/>
    </row>
    <row r="75" spans="1:16" s="4" customFormat="1" outlineLevel="1" x14ac:dyDescent="0.25">
      <c r="A75" s="174" t="s">
        <v>21</v>
      </c>
      <c r="B75" s="208" t="s">
        <v>120</v>
      </c>
      <c r="C75" s="164" t="s">
        <v>27</v>
      </c>
      <c r="D75" s="73" t="s">
        <v>11</v>
      </c>
      <c r="E75" s="74">
        <f>SUM(G75:M75)</f>
        <v>1802</v>
      </c>
      <c r="F75" s="74">
        <f>SUM(F76:F80)</f>
        <v>0</v>
      </c>
      <c r="G75" s="74">
        <f>SUM(G76:G80)</f>
        <v>1802</v>
      </c>
      <c r="H75" s="74">
        <f t="shared" ref="H75:M75" si="32">SUM(H76:H80)</f>
        <v>0</v>
      </c>
      <c r="I75" s="74">
        <f t="shared" si="32"/>
        <v>0</v>
      </c>
      <c r="J75" s="74">
        <f t="shared" si="32"/>
        <v>0</v>
      </c>
      <c r="K75" s="74">
        <f t="shared" si="32"/>
        <v>0</v>
      </c>
      <c r="L75" s="74">
        <f t="shared" ref="L75" si="33">SUM(L76:L80)</f>
        <v>0</v>
      </c>
      <c r="M75" s="74">
        <f t="shared" si="32"/>
        <v>0</v>
      </c>
      <c r="N75" s="7"/>
      <c r="O75" s="7"/>
    </row>
    <row r="76" spans="1:16" outlineLevel="1" x14ac:dyDescent="0.25">
      <c r="A76" s="174"/>
      <c r="B76" s="208"/>
      <c r="C76" s="164"/>
      <c r="D76" s="26" t="s">
        <v>25</v>
      </c>
      <c r="E76" s="35">
        <f t="shared" ref="E76:E86" si="34">SUM(F76:M76)</f>
        <v>0</v>
      </c>
      <c r="F76" s="35">
        <v>0</v>
      </c>
      <c r="G76" s="38">
        <v>0</v>
      </c>
      <c r="H76" s="35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</row>
    <row r="77" spans="1:16" s="4" customFormat="1" ht="33" outlineLevel="1" x14ac:dyDescent="0.25">
      <c r="A77" s="174"/>
      <c r="B77" s="208"/>
      <c r="C77" s="164"/>
      <c r="D77" s="26" t="s">
        <v>12</v>
      </c>
      <c r="E77" s="35">
        <f t="shared" si="34"/>
        <v>0</v>
      </c>
      <c r="F77" s="35">
        <v>0</v>
      </c>
      <c r="G77" s="38">
        <v>0</v>
      </c>
      <c r="H77" s="35">
        <v>0</v>
      </c>
      <c r="I77" s="35">
        <v>0</v>
      </c>
      <c r="J77" s="33">
        <v>0</v>
      </c>
      <c r="K77" s="33">
        <v>0</v>
      </c>
      <c r="L77" s="33">
        <v>0</v>
      </c>
      <c r="M77" s="33">
        <v>0</v>
      </c>
      <c r="N77" s="7"/>
      <c r="O77" s="7"/>
    </row>
    <row r="78" spans="1:16" s="4" customFormat="1" outlineLevel="1" x14ac:dyDescent="0.25">
      <c r="A78" s="174"/>
      <c r="B78" s="208"/>
      <c r="C78" s="164"/>
      <c r="D78" s="26" t="s">
        <v>13</v>
      </c>
      <c r="E78" s="35">
        <f t="shared" si="34"/>
        <v>0</v>
      </c>
      <c r="F78" s="35">
        <v>0</v>
      </c>
      <c r="G78" s="38">
        <v>0</v>
      </c>
      <c r="H78" s="35">
        <v>0</v>
      </c>
      <c r="I78" s="35">
        <v>0</v>
      </c>
      <c r="J78" s="33">
        <v>0</v>
      </c>
      <c r="K78" s="33">
        <v>0</v>
      </c>
      <c r="L78" s="33">
        <v>0</v>
      </c>
      <c r="M78" s="33">
        <v>0</v>
      </c>
      <c r="N78" s="7"/>
      <c r="O78" s="7"/>
    </row>
    <row r="79" spans="1:16" s="4" customFormat="1" outlineLevel="1" x14ac:dyDescent="0.25">
      <c r="A79" s="174"/>
      <c r="B79" s="208"/>
      <c r="C79" s="164"/>
      <c r="D79" s="26" t="s">
        <v>115</v>
      </c>
      <c r="E79" s="35">
        <f t="shared" si="34"/>
        <v>1802</v>
      </c>
      <c r="F79" s="35">
        <f>333-333</f>
        <v>0</v>
      </c>
      <c r="G79" s="38">
        <v>1802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7"/>
      <c r="O79" s="7"/>
    </row>
    <row r="80" spans="1:16" s="4" customFormat="1" outlineLevel="1" x14ac:dyDescent="0.25">
      <c r="A80" s="174"/>
      <c r="B80" s="208"/>
      <c r="C80" s="164"/>
      <c r="D80" s="26" t="s">
        <v>15</v>
      </c>
      <c r="E80" s="35">
        <f t="shared" si="34"/>
        <v>0</v>
      </c>
      <c r="F80" s="35">
        <f>16628.504-16628.504</f>
        <v>0</v>
      </c>
      <c r="G80" s="38">
        <f>61000-7611.404-956.29461-118.19372-52314.10767</f>
        <v>0</v>
      </c>
      <c r="H80" s="35"/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7"/>
      <c r="O80" s="7"/>
    </row>
    <row r="81" spans="1:15" s="4" customFormat="1" outlineLevel="1" x14ac:dyDescent="0.25">
      <c r="A81" s="174" t="s">
        <v>22</v>
      </c>
      <c r="B81" s="208" t="s">
        <v>121</v>
      </c>
      <c r="C81" s="164" t="s">
        <v>19</v>
      </c>
      <c r="D81" s="73" t="s">
        <v>11</v>
      </c>
      <c r="E81" s="74">
        <f t="shared" si="34"/>
        <v>11108.625340000001</v>
      </c>
      <c r="F81" s="74">
        <f>SUM(F82:F86)</f>
        <v>2752.5200000000004</v>
      </c>
      <c r="G81" s="74">
        <f>SUM(G82:G86)</f>
        <v>2680.2871800000003</v>
      </c>
      <c r="H81" s="74">
        <f t="shared" ref="H81:M81" si="35">SUM(H82:H86)</f>
        <v>3409.4039400000001</v>
      </c>
      <c r="I81" s="74">
        <f t="shared" si="35"/>
        <v>578.14239000000009</v>
      </c>
      <c r="J81" s="74">
        <f t="shared" si="35"/>
        <v>688.27183000000002</v>
      </c>
      <c r="K81" s="74">
        <f t="shared" si="35"/>
        <v>500</v>
      </c>
      <c r="L81" s="74">
        <f t="shared" ref="L81" si="36">SUM(L82:L86)</f>
        <v>500</v>
      </c>
      <c r="M81" s="74">
        <f t="shared" si="35"/>
        <v>0</v>
      </c>
      <c r="N81" s="7"/>
      <c r="O81" s="7"/>
    </row>
    <row r="82" spans="1:15" outlineLevel="1" x14ac:dyDescent="0.25">
      <c r="A82" s="174"/>
      <c r="B82" s="208"/>
      <c r="C82" s="164"/>
      <c r="D82" s="26" t="s">
        <v>25</v>
      </c>
      <c r="E82" s="35">
        <f t="shared" si="34"/>
        <v>0</v>
      </c>
      <c r="F82" s="35">
        <v>0</v>
      </c>
      <c r="G82" s="38">
        <v>0</v>
      </c>
      <c r="H82" s="35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</row>
    <row r="83" spans="1:15" s="4" customFormat="1" ht="33" outlineLevel="1" x14ac:dyDescent="0.25">
      <c r="A83" s="174"/>
      <c r="B83" s="208"/>
      <c r="C83" s="164"/>
      <c r="D83" s="26" t="s">
        <v>12</v>
      </c>
      <c r="E83" s="35">
        <f t="shared" si="34"/>
        <v>0</v>
      </c>
      <c r="F83" s="35">
        <v>0</v>
      </c>
      <c r="G83" s="38">
        <v>0</v>
      </c>
      <c r="H83" s="35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7"/>
      <c r="O83" s="7"/>
    </row>
    <row r="84" spans="1:15" s="4" customFormat="1" outlineLevel="1" x14ac:dyDescent="0.25">
      <c r="A84" s="174"/>
      <c r="B84" s="208"/>
      <c r="C84" s="164"/>
      <c r="D84" s="26" t="s">
        <v>13</v>
      </c>
      <c r="E84" s="35">
        <f t="shared" si="34"/>
        <v>0</v>
      </c>
      <c r="F84" s="35">
        <v>0</v>
      </c>
      <c r="G84" s="38"/>
      <c r="H84" s="35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7"/>
      <c r="O84" s="7"/>
    </row>
    <row r="85" spans="1:15" s="4" customFormat="1" outlineLevel="1" x14ac:dyDescent="0.25">
      <c r="A85" s="174"/>
      <c r="B85" s="208"/>
      <c r="C85" s="164"/>
      <c r="D85" s="26" t="s">
        <v>115</v>
      </c>
      <c r="E85" s="35">
        <f t="shared" si="34"/>
        <v>10808.625340000001</v>
      </c>
      <c r="F85" s="35">
        <f>1349.02771+1000+403.49229</f>
        <v>2752.5200000000004</v>
      </c>
      <c r="G85" s="38">
        <f>1600+15.06567+147.72151+917.5</f>
        <v>2680.2871800000003</v>
      </c>
      <c r="H85" s="35">
        <f>1500+1358.23602+156.3847+400+118.5-123.71678</f>
        <v>3409.4039400000001</v>
      </c>
      <c r="I85" s="35">
        <f>500+204.04275-125.90036</f>
        <v>578.14239000000009</v>
      </c>
      <c r="J85" s="35">
        <f>200+128.5+59.77183</f>
        <v>388.27183000000002</v>
      </c>
      <c r="K85" s="35">
        <f>500</f>
        <v>500</v>
      </c>
      <c r="L85" s="35">
        <f>500</f>
        <v>500</v>
      </c>
      <c r="M85" s="35"/>
      <c r="N85" s="7"/>
      <c r="O85" s="7"/>
    </row>
    <row r="86" spans="1:15" s="4" customFormat="1" ht="22.5" customHeight="1" outlineLevel="1" x14ac:dyDescent="0.25">
      <c r="A86" s="174"/>
      <c r="B86" s="208"/>
      <c r="C86" s="164"/>
      <c r="D86" s="26" t="s">
        <v>15</v>
      </c>
      <c r="E86" s="35">
        <f t="shared" si="34"/>
        <v>300</v>
      </c>
      <c r="F86" s="35">
        <f>2500-1000-1500</f>
        <v>0</v>
      </c>
      <c r="G86" s="38"/>
      <c r="H86" s="35"/>
      <c r="I86" s="35">
        <v>0</v>
      </c>
      <c r="J86" s="35">
        <v>300</v>
      </c>
      <c r="K86" s="35">
        <v>0</v>
      </c>
      <c r="L86" s="35">
        <v>0</v>
      </c>
      <c r="M86" s="35">
        <v>0</v>
      </c>
      <c r="N86" s="7"/>
      <c r="O86" s="7"/>
    </row>
    <row r="87" spans="1:15" s="4" customFormat="1" ht="3.75" hidden="1" customHeight="1" outlineLevel="1" x14ac:dyDescent="0.25">
      <c r="A87" s="174" t="s">
        <v>31</v>
      </c>
      <c r="B87" s="164" t="s">
        <v>39</v>
      </c>
      <c r="C87" s="164" t="s">
        <v>33</v>
      </c>
      <c r="D87" s="22" t="s">
        <v>11</v>
      </c>
      <c r="E87" s="23"/>
      <c r="F87" s="24">
        <f>SUM(F88:F92)</f>
        <v>0</v>
      </c>
      <c r="G87" s="25">
        <f>SUM(G88:G92)</f>
        <v>0</v>
      </c>
      <c r="H87" s="24">
        <f t="shared" ref="H87:M87" si="37">SUM(H88:H92)</f>
        <v>0</v>
      </c>
      <c r="I87" s="24">
        <f t="shared" si="37"/>
        <v>0</v>
      </c>
      <c r="J87" s="24">
        <f t="shared" si="37"/>
        <v>0</v>
      </c>
      <c r="K87" s="24">
        <f t="shared" si="37"/>
        <v>0</v>
      </c>
      <c r="L87" s="24">
        <f t="shared" ref="L87" si="38">SUM(L88:L92)</f>
        <v>0</v>
      </c>
      <c r="M87" s="24">
        <f t="shared" si="37"/>
        <v>0</v>
      </c>
      <c r="N87" s="7"/>
      <c r="O87" s="7"/>
    </row>
    <row r="88" spans="1:15" hidden="1" outlineLevel="1" x14ac:dyDescent="0.25">
      <c r="A88" s="174"/>
      <c r="B88" s="164"/>
      <c r="C88" s="164"/>
      <c r="D88" s="26" t="s">
        <v>25</v>
      </c>
      <c r="E88" s="24">
        <f>SUM(F88:M88)</f>
        <v>0</v>
      </c>
      <c r="F88" s="24">
        <v>0</v>
      </c>
      <c r="G88" s="25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</row>
    <row r="89" spans="1:15" s="4" customFormat="1" ht="33" hidden="1" outlineLevel="1" x14ac:dyDescent="0.25">
      <c r="A89" s="174"/>
      <c r="B89" s="164"/>
      <c r="C89" s="164"/>
      <c r="D89" s="26" t="s">
        <v>12</v>
      </c>
      <c r="E89" s="24">
        <f>SUM(F89:M89)</f>
        <v>0</v>
      </c>
      <c r="F89" s="27">
        <v>0</v>
      </c>
      <c r="G89" s="28">
        <v>0</v>
      </c>
      <c r="H89" s="27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7"/>
      <c r="O89" s="7"/>
    </row>
    <row r="90" spans="1:15" s="4" customFormat="1" hidden="1" outlineLevel="1" x14ac:dyDescent="0.25">
      <c r="A90" s="174"/>
      <c r="B90" s="164"/>
      <c r="C90" s="164"/>
      <c r="D90" s="26" t="s">
        <v>13</v>
      </c>
      <c r="E90" s="24">
        <f>SUM(F90:M90)</f>
        <v>0</v>
      </c>
      <c r="F90" s="29">
        <v>0</v>
      </c>
      <c r="G90" s="30">
        <v>0</v>
      </c>
      <c r="H90" s="29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7"/>
      <c r="O90" s="7"/>
    </row>
    <row r="91" spans="1:15" s="4" customFormat="1" ht="33" hidden="1" outlineLevel="1" x14ac:dyDescent="0.25">
      <c r="A91" s="174"/>
      <c r="B91" s="164"/>
      <c r="C91" s="164"/>
      <c r="D91" s="26" t="s">
        <v>14</v>
      </c>
      <c r="E91" s="23">
        <f>SUM(F91:M91)</f>
        <v>0</v>
      </c>
      <c r="F91" s="29"/>
      <c r="G91" s="28">
        <f>50-50</f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7"/>
      <c r="O91" s="7"/>
    </row>
    <row r="92" spans="1:15" s="4" customFormat="1" hidden="1" outlineLevel="1" x14ac:dyDescent="0.25">
      <c r="A92" s="174"/>
      <c r="B92" s="164"/>
      <c r="C92" s="164"/>
      <c r="D92" s="26" t="s">
        <v>15</v>
      </c>
      <c r="E92" s="31" t="s">
        <v>30</v>
      </c>
      <c r="F92" s="27">
        <v>0</v>
      </c>
      <c r="G92" s="32">
        <v>0</v>
      </c>
      <c r="H92" s="27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7"/>
      <c r="O92" s="7"/>
    </row>
    <row r="93" spans="1:15" s="4" customFormat="1" outlineLevel="1" x14ac:dyDescent="0.25">
      <c r="A93" s="174" t="s">
        <v>141</v>
      </c>
      <c r="B93" s="208" t="s">
        <v>144</v>
      </c>
      <c r="C93" s="164" t="s">
        <v>27</v>
      </c>
      <c r="D93" s="73" t="s">
        <v>11</v>
      </c>
      <c r="E93" s="74">
        <f t="shared" ref="E93:E98" si="39">SUM(F93:M93)</f>
        <v>1300</v>
      </c>
      <c r="F93" s="74">
        <f>SUM(F94:F98)</f>
        <v>0</v>
      </c>
      <c r="G93" s="74">
        <f>SUM(G94:G98)</f>
        <v>0</v>
      </c>
      <c r="H93" s="74">
        <f t="shared" ref="H93:M93" si="40">SUM(H94:H98)</f>
        <v>0</v>
      </c>
      <c r="I93" s="74">
        <f t="shared" si="40"/>
        <v>0</v>
      </c>
      <c r="J93" s="74">
        <f t="shared" si="40"/>
        <v>1300</v>
      </c>
      <c r="K93" s="74">
        <f t="shared" si="40"/>
        <v>0</v>
      </c>
      <c r="L93" s="74">
        <f t="shared" si="40"/>
        <v>0</v>
      </c>
      <c r="M93" s="74">
        <f t="shared" si="40"/>
        <v>0</v>
      </c>
      <c r="N93" s="7"/>
      <c r="O93" s="7"/>
    </row>
    <row r="94" spans="1:15" outlineLevel="1" x14ac:dyDescent="0.25">
      <c r="A94" s="174"/>
      <c r="B94" s="208"/>
      <c r="C94" s="164"/>
      <c r="D94" s="26" t="s">
        <v>25</v>
      </c>
      <c r="E94" s="35">
        <f t="shared" si="39"/>
        <v>0</v>
      </c>
      <c r="F94" s="35">
        <v>0</v>
      </c>
      <c r="G94" s="38">
        <v>0</v>
      </c>
      <c r="H94" s="35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</row>
    <row r="95" spans="1:15" s="4" customFormat="1" ht="33" outlineLevel="1" x14ac:dyDescent="0.25">
      <c r="A95" s="174"/>
      <c r="B95" s="208"/>
      <c r="C95" s="164"/>
      <c r="D95" s="26" t="s">
        <v>12</v>
      </c>
      <c r="E95" s="35">
        <f t="shared" si="39"/>
        <v>0</v>
      </c>
      <c r="F95" s="35">
        <v>0</v>
      </c>
      <c r="G95" s="38">
        <v>0</v>
      </c>
      <c r="H95" s="35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7"/>
      <c r="O95" s="7"/>
    </row>
    <row r="96" spans="1:15" s="4" customFormat="1" outlineLevel="1" x14ac:dyDescent="0.25">
      <c r="A96" s="174"/>
      <c r="B96" s="208"/>
      <c r="C96" s="164"/>
      <c r="D96" s="26" t="s">
        <v>13</v>
      </c>
      <c r="E96" s="35">
        <f t="shared" si="39"/>
        <v>0</v>
      </c>
      <c r="F96" s="35">
        <v>0</v>
      </c>
      <c r="G96" s="38"/>
      <c r="H96" s="35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7"/>
      <c r="O96" s="7"/>
    </row>
    <row r="97" spans="1:16" s="4" customFormat="1" outlineLevel="1" x14ac:dyDescent="0.25">
      <c r="A97" s="174"/>
      <c r="B97" s="208"/>
      <c r="C97" s="164"/>
      <c r="D97" s="26" t="s">
        <v>115</v>
      </c>
      <c r="E97" s="35">
        <f t="shared" si="39"/>
        <v>1300</v>
      </c>
      <c r="F97" s="35">
        <v>0</v>
      </c>
      <c r="G97" s="38">
        <v>0</v>
      </c>
      <c r="H97" s="35">
        <v>0</v>
      </c>
      <c r="I97" s="35">
        <v>0</v>
      </c>
      <c r="J97" s="35">
        <v>1300</v>
      </c>
      <c r="K97" s="35">
        <v>0</v>
      </c>
      <c r="L97" s="35">
        <v>0</v>
      </c>
      <c r="M97" s="35"/>
      <c r="N97" s="7"/>
      <c r="O97" s="7"/>
    </row>
    <row r="98" spans="1:16" s="4" customFormat="1" ht="22.5" customHeight="1" outlineLevel="1" x14ac:dyDescent="0.25">
      <c r="A98" s="174"/>
      <c r="B98" s="208"/>
      <c r="C98" s="164"/>
      <c r="D98" s="26" t="s">
        <v>15</v>
      </c>
      <c r="E98" s="35">
        <f t="shared" si="39"/>
        <v>0</v>
      </c>
      <c r="F98" s="35">
        <f>2500-1000-1500</f>
        <v>0</v>
      </c>
      <c r="G98" s="38"/>
      <c r="H98" s="35"/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7"/>
      <c r="O98" s="7"/>
    </row>
    <row r="99" spans="1:16" s="65" customFormat="1" outlineLevel="1" x14ac:dyDescent="0.25">
      <c r="A99" s="197" t="s">
        <v>18</v>
      </c>
      <c r="B99" s="198"/>
      <c r="C99" s="199"/>
      <c r="D99" s="73" t="s">
        <v>11</v>
      </c>
      <c r="E99" s="74">
        <f>SUM(F99:M99)</f>
        <v>840836.79870999977</v>
      </c>
      <c r="F99" s="74">
        <f>SUM(F100:F104)</f>
        <v>74837.484980000008</v>
      </c>
      <c r="G99" s="74">
        <f>SUM(G100:G104)</f>
        <v>203613.55902999995</v>
      </c>
      <c r="H99" s="74">
        <f t="shared" ref="H99" si="41">SUM(H100:H104)</f>
        <v>196402.08768</v>
      </c>
      <c r="I99" s="74">
        <f t="shared" ref="I99:K99" si="42">SUM(I100:I104)</f>
        <v>296585.96759999992</v>
      </c>
      <c r="J99" s="74">
        <f>SUM(J100:J104)</f>
        <v>47217.699419999997</v>
      </c>
      <c r="K99" s="74">
        <f t="shared" si="42"/>
        <v>10390</v>
      </c>
      <c r="L99" s="74">
        <f>SUM(L100:L104)</f>
        <v>9412.2000000000007</v>
      </c>
      <c r="M99" s="74">
        <f>SUM(M100:M104)</f>
        <v>2377.7999999999993</v>
      </c>
      <c r="N99" s="66"/>
      <c r="O99" s="66"/>
    </row>
    <row r="100" spans="1:16" s="68" customFormat="1" outlineLevel="1" x14ac:dyDescent="0.25">
      <c r="A100" s="200"/>
      <c r="B100" s="201"/>
      <c r="C100" s="202"/>
      <c r="D100" s="92" t="s">
        <v>25</v>
      </c>
      <c r="E100" s="25">
        <f t="shared" ref="E100" si="43">SUM(F100:M100)</f>
        <v>0</v>
      </c>
      <c r="F100" s="25">
        <f>F46+F52+F58+F64+F70+F76+F82</f>
        <v>0</v>
      </c>
      <c r="G100" s="25">
        <f t="shared" ref="G100:M100" si="44">G46+G52+G58+G64+G70+G76+G82</f>
        <v>0</v>
      </c>
      <c r="H100" s="25">
        <f t="shared" si="44"/>
        <v>0</v>
      </c>
      <c r="I100" s="25">
        <f t="shared" si="44"/>
        <v>0</v>
      </c>
      <c r="J100" s="25">
        <f t="shared" si="44"/>
        <v>0</v>
      </c>
      <c r="K100" s="25">
        <f t="shared" si="44"/>
        <v>0</v>
      </c>
      <c r="L100" s="25">
        <f t="shared" ref="L100" si="45">L46+L52+L58+L64+L70+L76+L82</f>
        <v>0</v>
      </c>
      <c r="M100" s="25">
        <f t="shared" si="44"/>
        <v>0</v>
      </c>
      <c r="N100" s="67"/>
      <c r="O100" s="67"/>
    </row>
    <row r="101" spans="1:16" s="65" customFormat="1" ht="33" x14ac:dyDescent="0.25">
      <c r="A101" s="200"/>
      <c r="B101" s="201"/>
      <c r="C101" s="202"/>
      <c r="D101" s="92" t="s">
        <v>12</v>
      </c>
      <c r="E101" s="34">
        <f>SUM(F101:M101)</f>
        <v>623836.59866999998</v>
      </c>
      <c r="F101" s="25">
        <f t="shared" ref="F101:M101" si="46">F47+F53+F59+F65+F71+F77+F83</f>
        <v>33100.946550000001</v>
      </c>
      <c r="G101" s="25">
        <f t="shared" si="46"/>
        <v>166897.71700999996</v>
      </c>
      <c r="H101" s="25">
        <f t="shared" si="46"/>
        <v>159338.01435000001</v>
      </c>
      <c r="I101" s="25">
        <f>I47+I53+I59+I65+I71+I77+I83</f>
        <v>250115.62075999993</v>
      </c>
      <c r="J101" s="25">
        <f t="shared" si="46"/>
        <v>14384.3</v>
      </c>
      <c r="K101" s="25">
        <f t="shared" si="46"/>
        <v>0</v>
      </c>
      <c r="L101" s="25">
        <f t="shared" ref="L101" si="47">L47+L53+L59+L65+L71+L77+L83</f>
        <v>0</v>
      </c>
      <c r="M101" s="25">
        <f t="shared" si="46"/>
        <v>0</v>
      </c>
      <c r="N101" s="66"/>
      <c r="O101" s="66"/>
      <c r="P101" s="69"/>
    </row>
    <row r="102" spans="1:16" s="65" customFormat="1" x14ac:dyDescent="0.25">
      <c r="A102" s="200"/>
      <c r="B102" s="201"/>
      <c r="C102" s="202"/>
      <c r="D102" s="92" t="s">
        <v>13</v>
      </c>
      <c r="E102" s="34">
        <f>SUM(F102:M102)</f>
        <v>107388.74819000001</v>
      </c>
      <c r="F102" s="25">
        <f>F48+F54+F60+F66+F72+F78+F84</f>
        <v>31904.82951</v>
      </c>
      <c r="G102" s="25">
        <f t="shared" ref="G102:M102" si="48">G48+G54+G60+G66+G72+G78+G84</f>
        <v>23684.184430000005</v>
      </c>
      <c r="H102" s="25">
        <f t="shared" si="48"/>
        <v>20886.567609999995</v>
      </c>
      <c r="I102" s="25">
        <f>I48+I54+I60+I66+I72+I78+I84</f>
        <v>30913.166640000003</v>
      </c>
      <c r="J102" s="25">
        <f t="shared" si="48"/>
        <v>0</v>
      </c>
      <c r="K102" s="25">
        <f t="shared" si="48"/>
        <v>0</v>
      </c>
      <c r="L102" s="25">
        <f t="shared" ref="L102" si="49">L48+L54+L60+L66+L72+L78+L84</f>
        <v>0</v>
      </c>
      <c r="M102" s="25">
        <f t="shared" si="48"/>
        <v>0</v>
      </c>
      <c r="N102" s="66"/>
      <c r="O102" s="66"/>
    </row>
    <row r="103" spans="1:16" s="65" customFormat="1" x14ac:dyDescent="0.25">
      <c r="A103" s="200"/>
      <c r="B103" s="201"/>
      <c r="C103" s="202"/>
      <c r="D103" s="92" t="s">
        <v>115</v>
      </c>
      <c r="E103" s="34">
        <f>SUM(F103:M103)</f>
        <v>92811.451849999998</v>
      </c>
      <c r="F103" s="25">
        <f t="shared" ref="F103:M103" si="50">F49+F55+F61+F67+F73+F79+F85</f>
        <v>9831.7089200000009</v>
      </c>
      <c r="G103" s="25">
        <f t="shared" si="50"/>
        <v>13031.657589999999</v>
      </c>
      <c r="H103" s="25">
        <f t="shared" si="50"/>
        <v>16177.505720000001</v>
      </c>
      <c r="I103" s="25">
        <f>I49+I55+I61+I67+I73+I79+I85</f>
        <v>15557.180199999999</v>
      </c>
      <c r="J103" s="25">
        <f>J49+J55+J61+J67+J73+J79+J85+J97</f>
        <v>16033.39942</v>
      </c>
      <c r="K103" s="25">
        <f t="shared" si="50"/>
        <v>10390</v>
      </c>
      <c r="L103" s="25">
        <f t="shared" ref="L103" si="51">L49+L55+L61+L67+L73+L79+L85</f>
        <v>9412.2000000000007</v>
      </c>
      <c r="M103" s="25">
        <f t="shared" si="50"/>
        <v>2377.7999999999993</v>
      </c>
      <c r="N103" s="66"/>
      <c r="O103" s="66"/>
      <c r="P103" s="70"/>
    </row>
    <row r="104" spans="1:16" s="65" customFormat="1" x14ac:dyDescent="0.25">
      <c r="A104" s="203"/>
      <c r="B104" s="204"/>
      <c r="C104" s="205"/>
      <c r="D104" s="92" t="s">
        <v>15</v>
      </c>
      <c r="E104" s="34">
        <f>SUM(F104:M104)</f>
        <v>16800</v>
      </c>
      <c r="F104" s="25">
        <f t="shared" ref="F104:M104" si="52">F50+F56+F62+F68+F74+F80+F86</f>
        <v>0</v>
      </c>
      <c r="G104" s="25">
        <f t="shared" si="52"/>
        <v>0</v>
      </c>
      <c r="H104" s="25">
        <f t="shared" si="52"/>
        <v>0</v>
      </c>
      <c r="I104" s="25">
        <f t="shared" si="52"/>
        <v>0</v>
      </c>
      <c r="J104" s="25">
        <f t="shared" si="52"/>
        <v>16800</v>
      </c>
      <c r="K104" s="25">
        <f t="shared" si="52"/>
        <v>0</v>
      </c>
      <c r="L104" s="25">
        <f t="shared" ref="L104" si="53">L50+L56+L62+L68+L74+L80+L86</f>
        <v>0</v>
      </c>
      <c r="M104" s="25">
        <f t="shared" si="52"/>
        <v>0</v>
      </c>
      <c r="N104" s="66"/>
      <c r="O104" s="66"/>
    </row>
    <row r="105" spans="1:16" s="72" customFormat="1" ht="26.25" customHeight="1" x14ac:dyDescent="0.25">
      <c r="A105" s="184" t="s">
        <v>44</v>
      </c>
      <c r="B105" s="184"/>
      <c r="C105" s="184"/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71"/>
      <c r="O105" s="71"/>
    </row>
    <row r="106" spans="1:16" ht="17.25" customHeight="1" outlineLevel="1" x14ac:dyDescent="0.25">
      <c r="A106" s="174" t="s">
        <v>9</v>
      </c>
      <c r="B106" s="164" t="s">
        <v>122</v>
      </c>
      <c r="C106" s="164" t="s">
        <v>26</v>
      </c>
      <c r="D106" s="73" t="s">
        <v>11</v>
      </c>
      <c r="E106" s="93">
        <f t="shared" ref="E106:E117" si="54">SUM(F106:M106)</f>
        <v>103.7</v>
      </c>
      <c r="F106" s="81">
        <f>SUM(F107:F111)</f>
        <v>72.2</v>
      </c>
      <c r="G106" s="81">
        <f t="shared" ref="G106:H106" si="55">SUM(G107:G111)</f>
        <v>0</v>
      </c>
      <c r="H106" s="81">
        <f t="shared" si="55"/>
        <v>31.5</v>
      </c>
      <c r="I106" s="81">
        <f>SUM(I107:I111)</f>
        <v>0</v>
      </c>
      <c r="J106" s="81">
        <f t="shared" ref="J106:M106" si="56">SUM(J107:J111)</f>
        <v>0</v>
      </c>
      <c r="K106" s="81">
        <f t="shared" si="56"/>
        <v>0</v>
      </c>
      <c r="L106" s="81">
        <f t="shared" ref="L106" si="57">SUM(L107:L111)</f>
        <v>0</v>
      </c>
      <c r="M106" s="81">
        <f t="shared" si="56"/>
        <v>0</v>
      </c>
    </row>
    <row r="107" spans="1:16" outlineLevel="1" x14ac:dyDescent="0.25">
      <c r="A107" s="174"/>
      <c r="B107" s="164"/>
      <c r="C107" s="164"/>
      <c r="D107" s="26" t="s">
        <v>25</v>
      </c>
      <c r="E107" s="24">
        <f t="shared" si="54"/>
        <v>0</v>
      </c>
      <c r="F107" s="24">
        <v>0</v>
      </c>
      <c r="G107" s="25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</row>
    <row r="108" spans="1:16" ht="33" outlineLevel="1" x14ac:dyDescent="0.25">
      <c r="A108" s="174"/>
      <c r="B108" s="164"/>
      <c r="C108" s="164"/>
      <c r="D108" s="26" t="s">
        <v>12</v>
      </c>
      <c r="E108" s="24">
        <f t="shared" si="54"/>
        <v>0</v>
      </c>
      <c r="F108" s="27">
        <v>0</v>
      </c>
      <c r="G108" s="28">
        <v>0</v>
      </c>
      <c r="H108" s="27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8"/>
      <c r="O108" s="8"/>
      <c r="P108" s="9"/>
    </row>
    <row r="109" spans="1:16" outlineLevel="1" x14ac:dyDescent="0.25">
      <c r="A109" s="174"/>
      <c r="B109" s="164"/>
      <c r="C109" s="164"/>
      <c r="D109" s="26" t="s">
        <v>13</v>
      </c>
      <c r="E109" s="24">
        <f t="shared" si="54"/>
        <v>0</v>
      </c>
      <c r="F109" s="29">
        <v>0</v>
      </c>
      <c r="G109" s="30">
        <v>0</v>
      </c>
      <c r="H109" s="29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8"/>
      <c r="O109" s="8"/>
      <c r="P109" s="9"/>
    </row>
    <row r="110" spans="1:16" outlineLevel="1" x14ac:dyDescent="0.25">
      <c r="A110" s="174"/>
      <c r="B110" s="164"/>
      <c r="C110" s="164"/>
      <c r="D110" s="26" t="s">
        <v>115</v>
      </c>
      <c r="E110" s="23">
        <f t="shared" si="54"/>
        <v>103.7</v>
      </c>
      <c r="F110" s="27">
        <v>72.2</v>
      </c>
      <c r="G110" s="28"/>
      <c r="H110" s="27">
        <f>150-118.5</f>
        <v>31.5</v>
      </c>
      <c r="I110" s="29">
        <f>150-150</f>
        <v>0</v>
      </c>
      <c r="J110" s="29">
        <v>0</v>
      </c>
      <c r="K110" s="29">
        <v>0</v>
      </c>
      <c r="L110" s="29">
        <v>0</v>
      </c>
      <c r="M110" s="29">
        <v>0</v>
      </c>
      <c r="N110" s="8"/>
      <c r="O110" s="8"/>
      <c r="P110" s="9"/>
    </row>
    <row r="111" spans="1:16" outlineLevel="1" x14ac:dyDescent="0.25">
      <c r="A111" s="174"/>
      <c r="B111" s="164"/>
      <c r="C111" s="164"/>
      <c r="D111" s="26" t="s">
        <v>15</v>
      </c>
      <c r="E111" s="151">
        <f t="shared" si="54"/>
        <v>0</v>
      </c>
      <c r="F111" s="27">
        <f>120-120</f>
        <v>0</v>
      </c>
      <c r="G111" s="28">
        <f t="shared" ref="G111:M111" si="58">G105</f>
        <v>0</v>
      </c>
      <c r="H111" s="27">
        <f t="shared" si="58"/>
        <v>0</v>
      </c>
      <c r="I111" s="29">
        <f t="shared" si="58"/>
        <v>0</v>
      </c>
      <c r="J111" s="29">
        <f t="shared" si="58"/>
        <v>0</v>
      </c>
      <c r="K111" s="29">
        <f t="shared" si="58"/>
        <v>0</v>
      </c>
      <c r="L111" s="29">
        <f t="shared" ref="L111" si="59">L105</f>
        <v>0</v>
      </c>
      <c r="M111" s="29">
        <f t="shared" si="58"/>
        <v>0</v>
      </c>
      <c r="N111" s="8"/>
      <c r="O111" s="8"/>
      <c r="P111" s="9"/>
    </row>
    <row r="112" spans="1:16" s="78" customFormat="1" x14ac:dyDescent="0.25">
      <c r="A112" s="185" t="s">
        <v>23</v>
      </c>
      <c r="B112" s="186"/>
      <c r="C112" s="187"/>
      <c r="D112" s="73" t="s">
        <v>11</v>
      </c>
      <c r="E112" s="74">
        <f t="shared" si="54"/>
        <v>103.7</v>
      </c>
      <c r="F112" s="74">
        <f>F106</f>
        <v>72.2</v>
      </c>
      <c r="G112" s="74">
        <f t="shared" ref="G112:M112" si="60">G106</f>
        <v>0</v>
      </c>
      <c r="H112" s="74">
        <f t="shared" si="60"/>
        <v>31.5</v>
      </c>
      <c r="I112" s="74">
        <f t="shared" si="60"/>
        <v>0</v>
      </c>
      <c r="J112" s="74">
        <f t="shared" si="60"/>
        <v>0</v>
      </c>
      <c r="K112" s="74">
        <f t="shared" si="60"/>
        <v>0</v>
      </c>
      <c r="L112" s="74">
        <f t="shared" ref="L112" si="61">L106</f>
        <v>0</v>
      </c>
      <c r="M112" s="74">
        <f t="shared" si="60"/>
        <v>0</v>
      </c>
      <c r="N112" s="75"/>
      <c r="O112" s="76"/>
      <c r="P112" s="77"/>
    </row>
    <row r="113" spans="1:16" s="72" customFormat="1" outlineLevel="1" x14ac:dyDescent="0.25">
      <c r="A113" s="188"/>
      <c r="B113" s="189"/>
      <c r="C113" s="190"/>
      <c r="D113" s="92" t="s">
        <v>25</v>
      </c>
      <c r="E113" s="34">
        <f t="shared" si="54"/>
        <v>0</v>
      </c>
      <c r="F113" s="39">
        <f t="shared" ref="F113:M117" si="62">F107</f>
        <v>0</v>
      </c>
      <c r="G113" s="39">
        <f t="shared" si="62"/>
        <v>0</v>
      </c>
      <c r="H113" s="39">
        <f t="shared" si="62"/>
        <v>0</v>
      </c>
      <c r="I113" s="39">
        <f t="shared" si="62"/>
        <v>0</v>
      </c>
      <c r="J113" s="39">
        <f t="shared" si="62"/>
        <v>0</v>
      </c>
      <c r="K113" s="39">
        <f t="shared" si="62"/>
        <v>0</v>
      </c>
      <c r="L113" s="39">
        <f t="shared" ref="L113" si="63">L107</f>
        <v>0</v>
      </c>
      <c r="M113" s="39">
        <f t="shared" si="62"/>
        <v>0</v>
      </c>
      <c r="N113" s="79"/>
      <c r="O113" s="79"/>
      <c r="P113" s="80"/>
    </row>
    <row r="114" spans="1:16" s="78" customFormat="1" ht="33" x14ac:dyDescent="0.25">
      <c r="A114" s="188"/>
      <c r="B114" s="189"/>
      <c r="C114" s="190"/>
      <c r="D114" s="92" t="s">
        <v>12</v>
      </c>
      <c r="E114" s="34">
        <f t="shared" si="54"/>
        <v>0</v>
      </c>
      <c r="F114" s="34">
        <f t="shared" si="62"/>
        <v>0</v>
      </c>
      <c r="G114" s="34">
        <f t="shared" si="62"/>
        <v>0</v>
      </c>
      <c r="H114" s="34">
        <f t="shared" si="62"/>
        <v>0</v>
      </c>
      <c r="I114" s="34">
        <f t="shared" si="62"/>
        <v>0</v>
      </c>
      <c r="J114" s="34">
        <f t="shared" si="62"/>
        <v>0</v>
      </c>
      <c r="K114" s="34">
        <f t="shared" si="62"/>
        <v>0</v>
      </c>
      <c r="L114" s="34">
        <f t="shared" ref="L114" si="64">L108</f>
        <v>0</v>
      </c>
      <c r="M114" s="34">
        <f t="shared" si="62"/>
        <v>0</v>
      </c>
      <c r="N114" s="76"/>
      <c r="O114" s="76"/>
      <c r="P114" s="77"/>
    </row>
    <row r="115" spans="1:16" s="78" customFormat="1" x14ac:dyDescent="0.25">
      <c r="A115" s="188"/>
      <c r="B115" s="189"/>
      <c r="C115" s="190"/>
      <c r="D115" s="92" t="s">
        <v>13</v>
      </c>
      <c r="E115" s="34">
        <f t="shared" si="54"/>
        <v>0</v>
      </c>
      <c r="F115" s="34">
        <f t="shared" si="62"/>
        <v>0</v>
      </c>
      <c r="G115" s="34">
        <f t="shared" si="62"/>
        <v>0</v>
      </c>
      <c r="H115" s="34">
        <f t="shared" si="62"/>
        <v>0</v>
      </c>
      <c r="I115" s="34">
        <f t="shared" si="62"/>
        <v>0</v>
      </c>
      <c r="J115" s="34">
        <f t="shared" si="62"/>
        <v>0</v>
      </c>
      <c r="K115" s="34">
        <f t="shared" si="62"/>
        <v>0</v>
      </c>
      <c r="L115" s="34">
        <f t="shared" ref="L115" si="65">L109</f>
        <v>0</v>
      </c>
      <c r="M115" s="34">
        <f t="shared" si="62"/>
        <v>0</v>
      </c>
      <c r="N115" s="76"/>
      <c r="O115" s="76"/>
      <c r="P115" s="77"/>
    </row>
    <row r="116" spans="1:16" s="78" customFormat="1" x14ac:dyDescent="0.25">
      <c r="A116" s="188"/>
      <c r="B116" s="189"/>
      <c r="C116" s="190"/>
      <c r="D116" s="92" t="s">
        <v>115</v>
      </c>
      <c r="E116" s="34">
        <f t="shared" si="54"/>
        <v>103.7</v>
      </c>
      <c r="F116" s="34">
        <f t="shared" si="62"/>
        <v>72.2</v>
      </c>
      <c r="G116" s="34">
        <f t="shared" si="62"/>
        <v>0</v>
      </c>
      <c r="H116" s="34">
        <f t="shared" si="62"/>
        <v>31.5</v>
      </c>
      <c r="I116" s="34">
        <f t="shared" si="62"/>
        <v>0</v>
      </c>
      <c r="J116" s="34">
        <f t="shared" si="62"/>
        <v>0</v>
      </c>
      <c r="K116" s="34">
        <f t="shared" si="62"/>
        <v>0</v>
      </c>
      <c r="L116" s="34">
        <f t="shared" ref="L116" si="66">L110</f>
        <v>0</v>
      </c>
      <c r="M116" s="34">
        <f t="shared" si="62"/>
        <v>0</v>
      </c>
      <c r="N116" s="76"/>
      <c r="O116" s="76"/>
      <c r="P116" s="77"/>
    </row>
    <row r="117" spans="1:16" s="78" customFormat="1" x14ac:dyDescent="0.25">
      <c r="A117" s="191"/>
      <c r="B117" s="192"/>
      <c r="C117" s="193"/>
      <c r="D117" s="92" t="s">
        <v>15</v>
      </c>
      <c r="E117" s="34">
        <f t="shared" si="54"/>
        <v>0</v>
      </c>
      <c r="F117" s="34">
        <f t="shared" si="62"/>
        <v>0</v>
      </c>
      <c r="G117" s="34">
        <f t="shared" si="62"/>
        <v>0</v>
      </c>
      <c r="H117" s="34">
        <f t="shared" si="62"/>
        <v>0</v>
      </c>
      <c r="I117" s="34">
        <f t="shared" si="62"/>
        <v>0</v>
      </c>
      <c r="J117" s="34">
        <f t="shared" si="62"/>
        <v>0</v>
      </c>
      <c r="K117" s="34">
        <f t="shared" si="62"/>
        <v>0</v>
      </c>
      <c r="L117" s="34">
        <f t="shared" ref="L117" si="67">L111</f>
        <v>0</v>
      </c>
      <c r="M117" s="34">
        <f t="shared" si="62"/>
        <v>0</v>
      </c>
      <c r="N117" s="76"/>
      <c r="O117" s="76"/>
      <c r="P117" s="77"/>
    </row>
    <row r="118" spans="1:16" s="4" customFormat="1" x14ac:dyDescent="0.25">
      <c r="A118" s="42"/>
      <c r="B118" s="43"/>
      <c r="C118" s="44"/>
      <c r="D118" s="22"/>
      <c r="E118" s="33"/>
      <c r="F118" s="33"/>
      <c r="G118" s="34"/>
      <c r="H118" s="33"/>
      <c r="I118" s="33"/>
      <c r="J118" s="33"/>
      <c r="K118" s="33"/>
      <c r="L118" s="33"/>
      <c r="M118" s="33"/>
      <c r="N118" s="7"/>
      <c r="O118" s="7"/>
    </row>
    <row r="119" spans="1:16" s="87" customFormat="1" ht="16.5" customHeight="1" x14ac:dyDescent="0.25">
      <c r="A119" s="175" t="s">
        <v>24</v>
      </c>
      <c r="B119" s="176"/>
      <c r="C119" s="177"/>
      <c r="D119" s="82" t="s">
        <v>11</v>
      </c>
      <c r="E119" s="83">
        <f t="shared" ref="E119:E124" si="68">SUM(F119:M119)</f>
        <v>873565.7590399998</v>
      </c>
      <c r="F119" s="84">
        <f>SUM(F120:F124)</f>
        <v>82755.785280000011</v>
      </c>
      <c r="G119" s="84">
        <f>SUM(G120:G124)</f>
        <v>207472.35341999994</v>
      </c>
      <c r="H119" s="84">
        <f t="shared" ref="H119:M119" si="69">H38+H99+H112</f>
        <v>208107.98267999999</v>
      </c>
      <c r="I119" s="84">
        <f t="shared" ref="I119:I124" si="70">I38+I99+I112</f>
        <v>299702.45595999993</v>
      </c>
      <c r="J119" s="84">
        <f t="shared" si="69"/>
        <v>49071.681700000001</v>
      </c>
      <c r="K119" s="84">
        <f t="shared" si="69"/>
        <v>10940.5</v>
      </c>
      <c r="L119" s="84">
        <f t="shared" ref="L119" si="71">L38+L99+L112</f>
        <v>9962.7000000000007</v>
      </c>
      <c r="M119" s="84">
        <f t="shared" si="69"/>
        <v>5552.2999999999993</v>
      </c>
      <c r="N119" s="85"/>
      <c r="O119" s="86"/>
    </row>
    <row r="120" spans="1:16" s="90" customFormat="1" outlineLevel="1" x14ac:dyDescent="0.25">
      <c r="A120" s="178"/>
      <c r="B120" s="179"/>
      <c r="C120" s="180"/>
      <c r="D120" s="82" t="s">
        <v>25</v>
      </c>
      <c r="E120" s="83">
        <f t="shared" si="68"/>
        <v>0</v>
      </c>
      <c r="F120" s="84">
        <f t="shared" ref="F120:H124" si="72">F39+F100+F113</f>
        <v>0</v>
      </c>
      <c r="G120" s="84">
        <f t="shared" si="72"/>
        <v>0</v>
      </c>
      <c r="H120" s="84">
        <f t="shared" si="72"/>
        <v>0</v>
      </c>
      <c r="I120" s="84">
        <f t="shared" si="70"/>
        <v>0</v>
      </c>
      <c r="J120" s="84">
        <f t="shared" ref="J120:K124" si="73">J39+J100+J113</f>
        <v>0</v>
      </c>
      <c r="K120" s="84">
        <f t="shared" si="73"/>
        <v>0</v>
      </c>
      <c r="L120" s="84">
        <f t="shared" ref="L120" si="74">L39+L100+L113</f>
        <v>0</v>
      </c>
      <c r="M120" s="84">
        <f>M39+M100+M113</f>
        <v>0</v>
      </c>
      <c r="N120" s="88"/>
      <c r="O120" s="89"/>
    </row>
    <row r="121" spans="1:16" s="87" customFormat="1" ht="33" x14ac:dyDescent="0.25">
      <c r="A121" s="178"/>
      <c r="B121" s="179"/>
      <c r="C121" s="180"/>
      <c r="D121" s="82" t="s">
        <v>12</v>
      </c>
      <c r="E121" s="83">
        <f t="shared" si="68"/>
        <v>623836.59866999998</v>
      </c>
      <c r="F121" s="84">
        <f t="shared" si="72"/>
        <v>33100.946550000001</v>
      </c>
      <c r="G121" s="84">
        <f t="shared" si="72"/>
        <v>166897.71700999996</v>
      </c>
      <c r="H121" s="84">
        <f t="shared" si="72"/>
        <v>159338.01435000001</v>
      </c>
      <c r="I121" s="84">
        <f t="shared" si="70"/>
        <v>250115.62075999993</v>
      </c>
      <c r="J121" s="84">
        <f t="shared" si="73"/>
        <v>14384.3</v>
      </c>
      <c r="K121" s="84">
        <f t="shared" si="73"/>
        <v>0</v>
      </c>
      <c r="L121" s="84">
        <f t="shared" ref="L121" si="75">L40+L101+L114</f>
        <v>0</v>
      </c>
      <c r="M121" s="84">
        <f>M40+M101+M114</f>
        <v>0</v>
      </c>
      <c r="N121" s="85"/>
      <c r="O121" s="86"/>
    </row>
    <row r="122" spans="1:16" s="87" customFormat="1" x14ac:dyDescent="0.25">
      <c r="A122" s="178"/>
      <c r="B122" s="179"/>
      <c r="C122" s="180"/>
      <c r="D122" s="82" t="s">
        <v>13</v>
      </c>
      <c r="E122" s="83">
        <f t="shared" si="68"/>
        <v>117898.74819000001</v>
      </c>
      <c r="F122" s="91">
        <f t="shared" si="72"/>
        <v>31904.82951</v>
      </c>
      <c r="G122" s="91">
        <f t="shared" si="72"/>
        <v>23684.184430000005</v>
      </c>
      <c r="H122" s="91">
        <f t="shared" si="72"/>
        <v>31396.567609999995</v>
      </c>
      <c r="I122" s="91">
        <f t="shared" si="70"/>
        <v>30913.166640000003</v>
      </c>
      <c r="J122" s="91">
        <f t="shared" si="73"/>
        <v>0</v>
      </c>
      <c r="K122" s="91">
        <f t="shared" si="73"/>
        <v>0</v>
      </c>
      <c r="L122" s="91">
        <f t="shared" ref="L122" si="76">L41+L102+L115</f>
        <v>0</v>
      </c>
      <c r="M122" s="91">
        <f>M41+M102+M115</f>
        <v>0</v>
      </c>
      <c r="N122" s="85"/>
      <c r="O122" s="86"/>
    </row>
    <row r="123" spans="1:16" s="87" customFormat="1" x14ac:dyDescent="0.25">
      <c r="A123" s="178"/>
      <c r="B123" s="179"/>
      <c r="C123" s="180"/>
      <c r="D123" s="82" t="s">
        <v>115</v>
      </c>
      <c r="E123" s="83">
        <f t="shared" si="68"/>
        <v>114430.41218000001</v>
      </c>
      <c r="F123" s="84">
        <f t="shared" si="72"/>
        <v>17750.009220000004</v>
      </c>
      <c r="G123" s="84">
        <f t="shared" si="72"/>
        <v>16890.451979999998</v>
      </c>
      <c r="H123" s="84">
        <f t="shared" si="72"/>
        <v>17373.400720000001</v>
      </c>
      <c r="I123" s="84">
        <f t="shared" si="70"/>
        <v>18673.668559999998</v>
      </c>
      <c r="J123" s="84">
        <f t="shared" si="73"/>
        <v>17287.381699999998</v>
      </c>
      <c r="K123" s="84">
        <f t="shared" si="73"/>
        <v>10940.5</v>
      </c>
      <c r="L123" s="84">
        <f t="shared" ref="L123" si="77">L42+L103+L116</f>
        <v>9962.7000000000007</v>
      </c>
      <c r="M123" s="84">
        <f>M42+M103+M116</f>
        <v>5552.2999999999993</v>
      </c>
      <c r="N123" s="85"/>
      <c r="O123" s="86"/>
    </row>
    <row r="124" spans="1:16" s="87" customFormat="1" x14ac:dyDescent="0.25">
      <c r="A124" s="181"/>
      <c r="B124" s="182"/>
      <c r="C124" s="183"/>
      <c r="D124" s="82" t="s">
        <v>15</v>
      </c>
      <c r="E124" s="83">
        <f t="shared" si="68"/>
        <v>17400</v>
      </c>
      <c r="F124" s="91">
        <f t="shared" si="72"/>
        <v>0</v>
      </c>
      <c r="G124" s="91">
        <f t="shared" si="72"/>
        <v>0</v>
      </c>
      <c r="H124" s="91">
        <f t="shared" si="72"/>
        <v>0</v>
      </c>
      <c r="I124" s="91">
        <f t="shared" si="70"/>
        <v>0</v>
      </c>
      <c r="J124" s="91">
        <f t="shared" si="73"/>
        <v>17400</v>
      </c>
      <c r="K124" s="91">
        <f t="shared" si="73"/>
        <v>0</v>
      </c>
      <c r="L124" s="91">
        <f t="shared" ref="L124" si="78">L43+L104+L117</f>
        <v>0</v>
      </c>
      <c r="M124" s="91">
        <f>M43+M104+M117</f>
        <v>0</v>
      </c>
      <c r="N124" s="85"/>
      <c r="O124" s="86"/>
    </row>
    <row r="125" spans="1:16" ht="16.5" customHeight="1" x14ac:dyDescent="0.25">
      <c r="A125" s="194" t="s">
        <v>6</v>
      </c>
      <c r="B125" s="195"/>
      <c r="C125" s="196"/>
      <c r="D125" s="26"/>
      <c r="E125" s="33">
        <f>SUM(G125:M125)</f>
        <v>0</v>
      </c>
      <c r="F125" s="33"/>
      <c r="G125" s="47"/>
      <c r="H125" s="48"/>
      <c r="I125" s="48"/>
      <c r="J125" s="48"/>
      <c r="K125" s="48"/>
      <c r="L125" s="48"/>
      <c r="M125" s="48"/>
      <c r="N125" s="13"/>
    </row>
    <row r="126" spans="1:16" ht="16.5" customHeight="1" x14ac:dyDescent="0.25">
      <c r="A126" s="155" t="s">
        <v>47</v>
      </c>
      <c r="B126" s="156"/>
      <c r="C126" s="157"/>
      <c r="D126" s="22" t="s">
        <v>11</v>
      </c>
      <c r="E126" s="33">
        <f t="shared" ref="E126:E137" si="79">SUM(F126:M126)</f>
        <v>0</v>
      </c>
      <c r="F126" s="33">
        <f>SUM(F127:F131)</f>
        <v>0</v>
      </c>
      <c r="G126" s="34">
        <f t="shared" ref="G126:H126" si="80">SUM(G127:G131)</f>
        <v>0</v>
      </c>
      <c r="H126" s="33">
        <f t="shared" si="80"/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13"/>
    </row>
    <row r="127" spans="1:16" outlineLevel="1" x14ac:dyDescent="0.25">
      <c r="A127" s="158"/>
      <c r="B127" s="159"/>
      <c r="C127" s="160"/>
      <c r="D127" s="26" t="s">
        <v>25</v>
      </c>
      <c r="E127" s="33">
        <f t="shared" si="79"/>
        <v>0</v>
      </c>
      <c r="F127" s="29">
        <v>0</v>
      </c>
      <c r="G127" s="30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13"/>
    </row>
    <row r="128" spans="1:16" ht="33" x14ac:dyDescent="0.25">
      <c r="A128" s="158"/>
      <c r="B128" s="159"/>
      <c r="C128" s="160"/>
      <c r="D128" s="26" t="s">
        <v>12</v>
      </c>
      <c r="E128" s="33">
        <f t="shared" si="79"/>
        <v>0</v>
      </c>
      <c r="F128" s="35">
        <v>0</v>
      </c>
      <c r="G128" s="49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13"/>
    </row>
    <row r="129" spans="1:14" x14ac:dyDescent="0.25">
      <c r="A129" s="158"/>
      <c r="B129" s="159"/>
      <c r="C129" s="160"/>
      <c r="D129" s="26" t="s">
        <v>13</v>
      </c>
      <c r="E129" s="33">
        <f t="shared" si="79"/>
        <v>0</v>
      </c>
      <c r="F129" s="35">
        <v>0</v>
      </c>
      <c r="G129" s="49">
        <v>0</v>
      </c>
      <c r="H129" s="50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v>0</v>
      </c>
      <c r="N129" s="13"/>
    </row>
    <row r="130" spans="1:14" x14ac:dyDescent="0.25">
      <c r="A130" s="158"/>
      <c r="B130" s="159"/>
      <c r="C130" s="160"/>
      <c r="D130" s="26" t="s">
        <v>115</v>
      </c>
      <c r="E130" s="33">
        <f t="shared" si="79"/>
        <v>0</v>
      </c>
      <c r="F130" s="35"/>
      <c r="G130" s="49">
        <v>0</v>
      </c>
      <c r="H130" s="50">
        <v>0</v>
      </c>
      <c r="I130" s="50">
        <v>0</v>
      </c>
      <c r="J130" s="50">
        <v>0</v>
      </c>
      <c r="K130" s="50">
        <v>0</v>
      </c>
      <c r="L130" s="50">
        <v>0</v>
      </c>
      <c r="M130" s="50">
        <v>0</v>
      </c>
      <c r="N130" s="13"/>
    </row>
    <row r="131" spans="1:14" x14ac:dyDescent="0.25">
      <c r="A131" s="161"/>
      <c r="B131" s="162"/>
      <c r="C131" s="163"/>
      <c r="D131" s="26" t="s">
        <v>15</v>
      </c>
      <c r="E131" s="33">
        <f t="shared" si="79"/>
        <v>0</v>
      </c>
      <c r="F131" s="35">
        <v>0</v>
      </c>
      <c r="G131" s="49">
        <v>0</v>
      </c>
      <c r="H131" s="50">
        <v>0</v>
      </c>
      <c r="I131" s="50">
        <v>0</v>
      </c>
      <c r="J131" s="50">
        <v>0</v>
      </c>
      <c r="K131" s="50">
        <v>0</v>
      </c>
      <c r="L131" s="50">
        <v>0</v>
      </c>
      <c r="M131" s="50">
        <v>0</v>
      </c>
      <c r="N131" s="13"/>
    </row>
    <row r="132" spans="1:14" ht="16.5" customHeight="1" x14ac:dyDescent="0.25">
      <c r="A132" s="155" t="s">
        <v>48</v>
      </c>
      <c r="B132" s="156"/>
      <c r="C132" s="157"/>
      <c r="D132" s="22" t="s">
        <v>11</v>
      </c>
      <c r="E132" s="33">
        <f t="shared" si="79"/>
        <v>873565.7590399998</v>
      </c>
      <c r="F132" s="51">
        <f>SUM(F133:F137)</f>
        <v>82755.785280000011</v>
      </c>
      <c r="G132" s="52">
        <f>SUM(G133:G137)</f>
        <v>207472.35341999994</v>
      </c>
      <c r="H132" s="51">
        <f t="shared" ref="H132:M132" si="81">SUM(H133:H137)</f>
        <v>208107.98268000002</v>
      </c>
      <c r="I132" s="51">
        <f t="shared" si="81"/>
        <v>299702.45595999993</v>
      </c>
      <c r="J132" s="51">
        <f t="shared" si="81"/>
        <v>49071.681700000001</v>
      </c>
      <c r="K132" s="51">
        <f t="shared" si="81"/>
        <v>10940.5</v>
      </c>
      <c r="L132" s="51">
        <f t="shared" ref="L132" si="82">SUM(L133:L137)</f>
        <v>9962.7000000000007</v>
      </c>
      <c r="M132" s="51">
        <f t="shared" si="81"/>
        <v>5552.2999999999993</v>
      </c>
    </row>
    <row r="133" spans="1:14" outlineLevel="1" x14ac:dyDescent="0.25">
      <c r="A133" s="158"/>
      <c r="B133" s="159"/>
      <c r="C133" s="160"/>
      <c r="D133" s="26" t="s">
        <v>25</v>
      </c>
      <c r="E133" s="35">
        <f t="shared" si="79"/>
        <v>0</v>
      </c>
      <c r="F133" s="24">
        <f>F120</f>
        <v>0</v>
      </c>
      <c r="G133" s="25">
        <f t="shared" ref="G133:H133" si="83">G107</f>
        <v>0</v>
      </c>
      <c r="H133" s="24">
        <f t="shared" si="83"/>
        <v>0</v>
      </c>
      <c r="I133" s="24">
        <f>I107</f>
        <v>0</v>
      </c>
      <c r="J133" s="24">
        <f>J107</f>
        <v>0</v>
      </c>
      <c r="K133" s="24">
        <f>K107</f>
        <v>0</v>
      </c>
      <c r="L133" s="24">
        <f>L107</f>
        <v>0</v>
      </c>
      <c r="M133" s="24">
        <f>M107</f>
        <v>0</v>
      </c>
    </row>
    <row r="134" spans="1:14" ht="33" x14ac:dyDescent="0.25">
      <c r="A134" s="158"/>
      <c r="B134" s="159"/>
      <c r="C134" s="160"/>
      <c r="D134" s="26" t="s">
        <v>12</v>
      </c>
      <c r="E134" s="35">
        <f t="shared" si="79"/>
        <v>623836.59866999998</v>
      </c>
      <c r="F134" s="35">
        <f>F121</f>
        <v>33100.946550000001</v>
      </c>
      <c r="G134" s="38">
        <f t="shared" ref="G134:M136" si="84">G121</f>
        <v>166897.71700999996</v>
      </c>
      <c r="H134" s="35">
        <f t="shared" si="84"/>
        <v>159338.01435000001</v>
      </c>
      <c r="I134" s="35">
        <f t="shared" si="84"/>
        <v>250115.62075999993</v>
      </c>
      <c r="J134" s="35">
        <f>J121</f>
        <v>14384.3</v>
      </c>
      <c r="K134" s="35">
        <f t="shared" si="84"/>
        <v>0</v>
      </c>
      <c r="L134" s="35">
        <f t="shared" ref="L134" si="85">L121</f>
        <v>0</v>
      </c>
      <c r="M134" s="35">
        <f t="shared" si="84"/>
        <v>0</v>
      </c>
    </row>
    <row r="135" spans="1:14" x14ac:dyDescent="0.25">
      <c r="A135" s="158"/>
      <c r="B135" s="159"/>
      <c r="C135" s="160"/>
      <c r="D135" s="26" t="s">
        <v>13</v>
      </c>
      <c r="E135" s="35">
        <f t="shared" si="79"/>
        <v>117898.74819000001</v>
      </c>
      <c r="F135" s="35">
        <f>F122</f>
        <v>31904.82951</v>
      </c>
      <c r="G135" s="38">
        <f t="shared" si="84"/>
        <v>23684.184430000005</v>
      </c>
      <c r="H135" s="35">
        <f t="shared" si="84"/>
        <v>31396.567609999995</v>
      </c>
      <c r="I135" s="35">
        <f t="shared" si="84"/>
        <v>30913.166640000003</v>
      </c>
      <c r="J135" s="35">
        <f t="shared" si="84"/>
        <v>0</v>
      </c>
      <c r="K135" s="35">
        <f t="shared" si="84"/>
        <v>0</v>
      </c>
      <c r="L135" s="35">
        <f t="shared" ref="L135" si="86">L122</f>
        <v>0</v>
      </c>
      <c r="M135" s="35">
        <f t="shared" si="84"/>
        <v>0</v>
      </c>
    </row>
    <row r="136" spans="1:14" x14ac:dyDescent="0.25">
      <c r="A136" s="158"/>
      <c r="B136" s="159"/>
      <c r="C136" s="160"/>
      <c r="D136" s="26" t="s">
        <v>115</v>
      </c>
      <c r="E136" s="35">
        <f t="shared" si="79"/>
        <v>114430.41218000001</v>
      </c>
      <c r="F136" s="50">
        <f>F123</f>
        <v>17750.009220000004</v>
      </c>
      <c r="G136" s="49">
        <f t="shared" si="84"/>
        <v>16890.451979999998</v>
      </c>
      <c r="H136" s="50">
        <f t="shared" si="84"/>
        <v>17373.400720000001</v>
      </c>
      <c r="I136" s="50">
        <f t="shared" si="84"/>
        <v>18673.668559999998</v>
      </c>
      <c r="J136" s="50">
        <f>J123</f>
        <v>17287.381699999998</v>
      </c>
      <c r="K136" s="50">
        <f t="shared" si="84"/>
        <v>10940.5</v>
      </c>
      <c r="L136" s="50">
        <f t="shared" ref="L136" si="87">L123</f>
        <v>9962.7000000000007</v>
      </c>
      <c r="M136" s="50">
        <f t="shared" si="84"/>
        <v>5552.2999999999993</v>
      </c>
    </row>
    <row r="137" spans="1:14" x14ac:dyDescent="0.25">
      <c r="A137" s="161"/>
      <c r="B137" s="162"/>
      <c r="C137" s="163"/>
      <c r="D137" s="26" t="s">
        <v>15</v>
      </c>
      <c r="E137" s="35">
        <f t="shared" si="79"/>
        <v>17400</v>
      </c>
      <c r="F137" s="50">
        <f>F124</f>
        <v>0</v>
      </c>
      <c r="G137" s="49">
        <f>G111</f>
        <v>0</v>
      </c>
      <c r="H137" s="50">
        <f t="shared" ref="H137" si="88">H111</f>
        <v>0</v>
      </c>
      <c r="I137" s="50">
        <f>I124</f>
        <v>0</v>
      </c>
      <c r="J137" s="50">
        <f>J124</f>
        <v>17400</v>
      </c>
      <c r="K137" s="50">
        <f>K124</f>
        <v>0</v>
      </c>
      <c r="L137" s="50">
        <f>L124</f>
        <v>0</v>
      </c>
      <c r="M137" s="50">
        <f>M124</f>
        <v>0</v>
      </c>
    </row>
    <row r="138" spans="1:14" ht="16.5" customHeight="1" x14ac:dyDescent="0.25">
      <c r="A138" s="194" t="s">
        <v>6</v>
      </c>
      <c r="B138" s="195"/>
      <c r="C138" s="196"/>
      <c r="D138" s="26"/>
      <c r="E138" s="33">
        <f>SUM(G138:M138)</f>
        <v>0</v>
      </c>
      <c r="F138" s="33"/>
      <c r="G138" s="47"/>
      <c r="H138" s="48"/>
      <c r="I138" s="48"/>
      <c r="J138" s="48"/>
      <c r="K138" s="48"/>
      <c r="L138" s="48"/>
      <c r="M138" s="48"/>
      <c r="N138" s="13"/>
    </row>
    <row r="139" spans="1:14" ht="16.5" customHeight="1" x14ac:dyDescent="0.25">
      <c r="A139" s="155" t="s">
        <v>49</v>
      </c>
      <c r="B139" s="156"/>
      <c r="C139" s="157"/>
      <c r="D139" s="22" t="s">
        <v>11</v>
      </c>
      <c r="E139" s="33">
        <f t="shared" ref="E139:E162" si="89">SUM(F139:M139)</f>
        <v>0</v>
      </c>
      <c r="F139" s="33">
        <f>SUM(F140:F144)</f>
        <v>0</v>
      </c>
      <c r="G139" s="34">
        <f t="shared" ref="G139:H139" si="90">SUM(G140:G144)</f>
        <v>0</v>
      </c>
      <c r="H139" s="33">
        <f t="shared" si="90"/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13"/>
    </row>
    <row r="140" spans="1:14" outlineLevel="1" x14ac:dyDescent="0.25">
      <c r="A140" s="158"/>
      <c r="B140" s="159"/>
      <c r="C140" s="160"/>
      <c r="D140" s="26" t="s">
        <v>25</v>
      </c>
      <c r="E140" s="33">
        <f t="shared" si="89"/>
        <v>0</v>
      </c>
      <c r="F140" s="29">
        <v>0</v>
      </c>
      <c r="G140" s="30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13"/>
    </row>
    <row r="141" spans="1:14" ht="33" x14ac:dyDescent="0.25">
      <c r="A141" s="158"/>
      <c r="B141" s="159"/>
      <c r="C141" s="160"/>
      <c r="D141" s="26" t="s">
        <v>12</v>
      </c>
      <c r="E141" s="33">
        <f t="shared" si="89"/>
        <v>0</v>
      </c>
      <c r="F141" s="35">
        <v>0</v>
      </c>
      <c r="G141" s="49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13"/>
    </row>
    <row r="142" spans="1:14" x14ac:dyDescent="0.25">
      <c r="A142" s="158"/>
      <c r="B142" s="159"/>
      <c r="C142" s="160"/>
      <c r="D142" s="26" t="s">
        <v>13</v>
      </c>
      <c r="E142" s="33">
        <f t="shared" si="89"/>
        <v>0</v>
      </c>
      <c r="F142" s="35">
        <v>0</v>
      </c>
      <c r="G142" s="49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13"/>
    </row>
    <row r="143" spans="1:14" x14ac:dyDescent="0.25">
      <c r="A143" s="158"/>
      <c r="B143" s="159"/>
      <c r="C143" s="160"/>
      <c r="D143" s="26" t="s">
        <v>115</v>
      </c>
      <c r="E143" s="33">
        <f t="shared" si="89"/>
        <v>0</v>
      </c>
      <c r="F143" s="35"/>
      <c r="G143" s="49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13"/>
    </row>
    <row r="144" spans="1:14" x14ac:dyDescent="0.25">
      <c r="A144" s="161"/>
      <c r="B144" s="162"/>
      <c r="C144" s="163"/>
      <c r="D144" s="26" t="s">
        <v>15</v>
      </c>
      <c r="E144" s="33">
        <f t="shared" si="89"/>
        <v>0</v>
      </c>
      <c r="F144" s="35">
        <v>0</v>
      </c>
      <c r="G144" s="49">
        <v>0</v>
      </c>
      <c r="H144" s="50">
        <v>0</v>
      </c>
      <c r="I144" s="50">
        <v>0</v>
      </c>
      <c r="J144" s="50">
        <v>0</v>
      </c>
      <c r="K144" s="50">
        <v>0</v>
      </c>
      <c r="L144" s="50">
        <v>0</v>
      </c>
      <c r="M144" s="50">
        <v>0</v>
      </c>
      <c r="N144" s="13"/>
    </row>
    <row r="145" spans="1:13" ht="16.5" customHeight="1" x14ac:dyDescent="0.25">
      <c r="A145" s="155" t="s">
        <v>50</v>
      </c>
      <c r="B145" s="156"/>
      <c r="C145" s="157"/>
      <c r="D145" s="22" t="s">
        <v>11</v>
      </c>
      <c r="E145" s="33">
        <f t="shared" si="89"/>
        <v>873565.75903999992</v>
      </c>
      <c r="F145" s="51">
        <f>SUM(F146:F150)</f>
        <v>82755.785280000011</v>
      </c>
      <c r="G145" s="52">
        <f>SUM(G146:G150)</f>
        <v>207472.35342</v>
      </c>
      <c r="H145" s="51">
        <f t="shared" ref="H145" si="91">SUM(H146:H150)</f>
        <v>208107.98268000002</v>
      </c>
      <c r="I145" s="51">
        <f>SUM(I146:I150)</f>
        <v>299702.45595999993</v>
      </c>
      <c r="J145" s="51">
        <f t="shared" ref="J145:M145" si="92">SUM(J146:J150)</f>
        <v>49071.681700000001</v>
      </c>
      <c r="K145" s="51">
        <f t="shared" si="92"/>
        <v>10940.5</v>
      </c>
      <c r="L145" s="51">
        <f t="shared" ref="L145" si="93">SUM(L146:L150)</f>
        <v>9962.7000000000007</v>
      </c>
      <c r="M145" s="51">
        <f t="shared" si="92"/>
        <v>5552.2999999999993</v>
      </c>
    </row>
    <row r="146" spans="1:13" outlineLevel="1" x14ac:dyDescent="0.25">
      <c r="A146" s="158"/>
      <c r="B146" s="159"/>
      <c r="C146" s="160"/>
      <c r="D146" s="26" t="s">
        <v>25</v>
      </c>
      <c r="E146" s="35">
        <f t="shared" si="89"/>
        <v>0</v>
      </c>
      <c r="F146" s="24">
        <f>F120</f>
        <v>0</v>
      </c>
      <c r="G146" s="25">
        <f t="shared" ref="G146:H146" si="94">G120</f>
        <v>0</v>
      </c>
      <c r="H146" s="24">
        <f t="shared" si="94"/>
        <v>0</v>
      </c>
      <c r="I146" s="24">
        <f t="shared" ref="I146:M150" si="95">I120</f>
        <v>0</v>
      </c>
      <c r="J146" s="24">
        <f t="shared" si="95"/>
        <v>0</v>
      </c>
      <c r="K146" s="24">
        <f t="shared" si="95"/>
        <v>0</v>
      </c>
      <c r="L146" s="24">
        <f t="shared" ref="L146" si="96">L120</f>
        <v>0</v>
      </c>
      <c r="M146" s="24">
        <f t="shared" si="95"/>
        <v>0</v>
      </c>
    </row>
    <row r="147" spans="1:13" ht="33" x14ac:dyDescent="0.25">
      <c r="A147" s="158"/>
      <c r="B147" s="159"/>
      <c r="C147" s="160"/>
      <c r="D147" s="26" t="s">
        <v>12</v>
      </c>
      <c r="E147" s="35">
        <f t="shared" si="89"/>
        <v>623836.59866999998</v>
      </c>
      <c r="F147" s="35">
        <f>F153+F159</f>
        <v>33100.946550000001</v>
      </c>
      <c r="G147" s="35">
        <f t="shared" ref="G147:M147" si="97">G153+G159</f>
        <v>166897.71700999999</v>
      </c>
      <c r="H147" s="35">
        <f t="shared" si="97"/>
        <v>159338.01435000001</v>
      </c>
      <c r="I147" s="35">
        <f t="shared" si="97"/>
        <v>250115.62075999993</v>
      </c>
      <c r="J147" s="35">
        <f>J153+J159</f>
        <v>14384.3</v>
      </c>
      <c r="K147" s="35">
        <f t="shared" si="97"/>
        <v>0</v>
      </c>
      <c r="L147" s="35">
        <f t="shared" si="97"/>
        <v>0</v>
      </c>
      <c r="M147" s="35">
        <f t="shared" si="97"/>
        <v>0</v>
      </c>
    </row>
    <row r="148" spans="1:13" x14ac:dyDescent="0.25">
      <c r="A148" s="158"/>
      <c r="B148" s="159"/>
      <c r="C148" s="160"/>
      <c r="D148" s="26" t="s">
        <v>13</v>
      </c>
      <c r="E148" s="35">
        <f t="shared" si="89"/>
        <v>117898.74819000001</v>
      </c>
      <c r="F148" s="35">
        <f>F154+F160</f>
        <v>31904.82951</v>
      </c>
      <c r="G148" s="35">
        <f t="shared" ref="G148:M148" si="98">G154+G160</f>
        <v>23684.184430000001</v>
      </c>
      <c r="H148" s="35">
        <f t="shared" si="98"/>
        <v>31396.567609999995</v>
      </c>
      <c r="I148" s="35">
        <f t="shared" si="98"/>
        <v>30913.166640000003</v>
      </c>
      <c r="J148" s="35">
        <f t="shared" si="98"/>
        <v>0</v>
      </c>
      <c r="K148" s="35">
        <f t="shared" si="98"/>
        <v>0</v>
      </c>
      <c r="L148" s="35">
        <f t="shared" si="98"/>
        <v>0</v>
      </c>
      <c r="M148" s="35">
        <f t="shared" si="98"/>
        <v>0</v>
      </c>
    </row>
    <row r="149" spans="1:13" x14ac:dyDescent="0.25">
      <c r="A149" s="158"/>
      <c r="B149" s="159"/>
      <c r="C149" s="160"/>
      <c r="D149" s="26" t="s">
        <v>115</v>
      </c>
      <c r="E149" s="35">
        <f>SUM(F149:M149)</f>
        <v>114430.41218000001</v>
      </c>
      <c r="F149" s="50">
        <f>F155+F161</f>
        <v>17750.00922</v>
      </c>
      <c r="G149" s="50">
        <f t="shared" ref="G149:M149" si="99">G155+G161</f>
        <v>16890.451980000002</v>
      </c>
      <c r="H149" s="50">
        <f t="shared" si="99"/>
        <v>17373.400720000001</v>
      </c>
      <c r="I149" s="50">
        <f t="shared" si="99"/>
        <v>18673.668559999998</v>
      </c>
      <c r="J149" s="50">
        <f t="shared" si="99"/>
        <v>17287.381699999998</v>
      </c>
      <c r="K149" s="50">
        <f t="shared" si="99"/>
        <v>10940.5</v>
      </c>
      <c r="L149" s="50">
        <f t="shared" si="99"/>
        <v>9962.7000000000007</v>
      </c>
      <c r="M149" s="50">
        <f t="shared" si="99"/>
        <v>5552.2999999999993</v>
      </c>
    </row>
    <row r="150" spans="1:13" x14ac:dyDescent="0.25">
      <c r="A150" s="161"/>
      <c r="B150" s="162"/>
      <c r="C150" s="163"/>
      <c r="D150" s="26" t="s">
        <v>15</v>
      </c>
      <c r="E150" s="35">
        <f t="shared" si="89"/>
        <v>17400</v>
      </c>
      <c r="F150" s="50">
        <f>F124</f>
        <v>0</v>
      </c>
      <c r="G150" s="49">
        <f>G124</f>
        <v>0</v>
      </c>
      <c r="H150" s="50">
        <f t="shared" ref="H150" si="100">H124</f>
        <v>0</v>
      </c>
      <c r="I150" s="50">
        <f t="shared" si="95"/>
        <v>0</v>
      </c>
      <c r="J150" s="50">
        <f t="shared" si="95"/>
        <v>17400</v>
      </c>
      <c r="K150" s="50">
        <f t="shared" si="95"/>
        <v>0</v>
      </c>
      <c r="L150" s="50">
        <f t="shared" ref="L150" si="101">L124</f>
        <v>0</v>
      </c>
      <c r="M150" s="50">
        <f t="shared" si="95"/>
        <v>0</v>
      </c>
    </row>
    <row r="151" spans="1:13" ht="16.5" customHeight="1" x14ac:dyDescent="0.25">
      <c r="A151" s="165" t="s">
        <v>28</v>
      </c>
      <c r="B151" s="166"/>
      <c r="C151" s="167"/>
      <c r="D151" s="22" t="s">
        <v>11</v>
      </c>
      <c r="E151" s="33">
        <f t="shared" si="89"/>
        <v>795317.4086999998</v>
      </c>
      <c r="F151" s="45">
        <f>SUM(F152:F156)</f>
        <v>57725.564859999999</v>
      </c>
      <c r="G151" s="46">
        <f t="shared" ref="G151:H151" si="102">SUM(G152:G156)</f>
        <v>187724.72854999997</v>
      </c>
      <c r="H151" s="45">
        <f t="shared" si="102"/>
        <v>189043.68081000002</v>
      </c>
      <c r="I151" s="45">
        <f>SUM(I152:I156)</f>
        <v>290867.74997999991</v>
      </c>
      <c r="J151" s="45">
        <f t="shared" ref="J151:M151" si="103">SUM(J152:J156)</f>
        <v>45040.184499999996</v>
      </c>
      <c r="K151" s="45">
        <f t="shared" si="103"/>
        <v>10170.5</v>
      </c>
      <c r="L151" s="45">
        <f t="shared" ref="L151" si="104">SUM(L152:L156)</f>
        <v>9192.7000000000007</v>
      </c>
      <c r="M151" s="45">
        <f t="shared" si="103"/>
        <v>5552.2999999999993</v>
      </c>
    </row>
    <row r="152" spans="1:13" outlineLevel="1" x14ac:dyDescent="0.25">
      <c r="A152" s="168"/>
      <c r="B152" s="169"/>
      <c r="C152" s="170"/>
      <c r="D152" s="26" t="s">
        <v>25</v>
      </c>
      <c r="E152" s="33">
        <f t="shared" si="89"/>
        <v>0</v>
      </c>
      <c r="F152" s="35">
        <f t="shared" ref="F152:M152" si="105">F9+F15+F21+F27+F64+F76+F88</f>
        <v>0</v>
      </c>
      <c r="G152" s="38">
        <f t="shared" si="105"/>
        <v>0</v>
      </c>
      <c r="H152" s="35">
        <f t="shared" si="105"/>
        <v>0</v>
      </c>
      <c r="I152" s="35">
        <f t="shared" si="105"/>
        <v>0</v>
      </c>
      <c r="J152" s="35">
        <f t="shared" si="105"/>
        <v>0</v>
      </c>
      <c r="K152" s="35">
        <f t="shared" si="105"/>
        <v>0</v>
      </c>
      <c r="L152" s="35">
        <f t="shared" ref="L152" si="106">L9+L15+L21+L27+L64+L76+L88</f>
        <v>0</v>
      </c>
      <c r="M152" s="35">
        <f t="shared" si="105"/>
        <v>0</v>
      </c>
    </row>
    <row r="153" spans="1:13" ht="33" x14ac:dyDescent="0.25">
      <c r="A153" s="168"/>
      <c r="B153" s="169"/>
      <c r="C153" s="170"/>
      <c r="D153" s="26" t="s">
        <v>12</v>
      </c>
      <c r="E153" s="35">
        <f t="shared" si="89"/>
        <v>584650.50157999992</v>
      </c>
      <c r="F153" s="35">
        <f>F10+F16+F22+F28+F65+F77+F89+F47</f>
        <v>20558.291560000001</v>
      </c>
      <c r="G153" s="35">
        <f t="shared" ref="G153:M153" si="107">G10+G16+G22+G28+G65+G77+G89+G47</f>
        <v>157200.38910999999</v>
      </c>
      <c r="H153" s="35">
        <f t="shared" si="107"/>
        <v>148696.59087000001</v>
      </c>
      <c r="I153" s="35">
        <f>I10+I16+I22+I28+I65+I77+I89+I47</f>
        <v>243810.93003999992</v>
      </c>
      <c r="J153" s="35">
        <f>J10+J16+J22+J28+J65+J77+J89+J47</f>
        <v>14384.3</v>
      </c>
      <c r="K153" s="35">
        <f t="shared" si="107"/>
        <v>0</v>
      </c>
      <c r="L153" s="35">
        <f t="shared" ref="L153" si="108">L10+L16+L22+L28+L65+L77+L89+L47</f>
        <v>0</v>
      </c>
      <c r="M153" s="35">
        <f t="shared" si="107"/>
        <v>0</v>
      </c>
    </row>
    <row r="154" spans="1:13" x14ac:dyDescent="0.25">
      <c r="A154" s="168"/>
      <c r="B154" s="169"/>
      <c r="C154" s="170"/>
      <c r="D154" s="26" t="s">
        <v>13</v>
      </c>
      <c r="E154" s="35">
        <f t="shared" si="89"/>
        <v>106344.18180000001</v>
      </c>
      <c r="F154" s="35">
        <f>F11+F17+F23+F29+F66+F78+E90+F48</f>
        <v>27570.28744</v>
      </c>
      <c r="G154" s="35">
        <f t="shared" ref="G154:J154" si="109">G11+G17+G23+G29+G66+G78+F90+G48</f>
        <v>19428.149220000003</v>
      </c>
      <c r="H154" s="35">
        <f t="shared" si="109"/>
        <v>29211.809939999996</v>
      </c>
      <c r="I154" s="35">
        <f t="shared" si="109"/>
        <v>30133.935200000004</v>
      </c>
      <c r="J154" s="35">
        <f t="shared" si="109"/>
        <v>0</v>
      </c>
      <c r="K154" s="35">
        <f>K11+K17+K23+K29+K66+K78+J90+K48</f>
        <v>0</v>
      </c>
      <c r="L154" s="35">
        <f>L11+L17+L23+L29+L66+L78+J90+L48</f>
        <v>0</v>
      </c>
      <c r="M154" s="35">
        <f>M11+M17+M23+M29+M66+M78+K90+M48</f>
        <v>0</v>
      </c>
    </row>
    <row r="155" spans="1:13" x14ac:dyDescent="0.25">
      <c r="A155" s="168"/>
      <c r="B155" s="169"/>
      <c r="C155" s="170"/>
      <c r="D155" s="26" t="s">
        <v>115</v>
      </c>
      <c r="E155" s="35">
        <f t="shared" si="89"/>
        <v>87222.725319999998</v>
      </c>
      <c r="F155" s="50">
        <f>F12+F18+F24+F30+F67+F79+F91+F110</f>
        <v>9596.9858600000007</v>
      </c>
      <c r="G155" s="50">
        <f t="shared" ref="G155:M155" si="110">G12+G18+G24+G30+G67+G79+G91+G110</f>
        <v>11096.19022</v>
      </c>
      <c r="H155" s="50">
        <f t="shared" si="110"/>
        <v>11135.28</v>
      </c>
      <c r="I155" s="50">
        <f t="shared" si="110"/>
        <v>16922.884739999998</v>
      </c>
      <c r="J155" s="50">
        <f>J12+J18+J24+J30+J67+J79+J91+J110+J49+J97</f>
        <v>13555.884499999998</v>
      </c>
      <c r="K155" s="50">
        <f t="shared" si="110"/>
        <v>10170.5</v>
      </c>
      <c r="L155" s="50">
        <f t="shared" ref="L155" si="111">L12+L18+L24+L30+L67+L79+L91+L110</f>
        <v>9192.7000000000007</v>
      </c>
      <c r="M155" s="50">
        <f t="shared" si="110"/>
        <v>5552.2999999999993</v>
      </c>
    </row>
    <row r="156" spans="1:13" x14ac:dyDescent="0.25">
      <c r="A156" s="171"/>
      <c r="B156" s="172"/>
      <c r="C156" s="173"/>
      <c r="D156" s="26" t="s">
        <v>15</v>
      </c>
      <c r="E156" s="35">
        <f t="shared" si="89"/>
        <v>17100</v>
      </c>
      <c r="F156" s="50">
        <f>F13+F19+F25+F31+F68+F80+F92</f>
        <v>0</v>
      </c>
      <c r="G156" s="49">
        <f>G25+G31+G68+G80+G92</f>
        <v>0</v>
      </c>
      <c r="H156" s="50">
        <f>H13+H19+H25+H31+H68+H80+H92</f>
        <v>0</v>
      </c>
      <c r="I156" s="50">
        <f>I13+I19+I25+I31+I68+I80+I92+I50</f>
        <v>0</v>
      </c>
      <c r="J156" s="50">
        <f t="shared" ref="J156:M156" si="112">J13+J19+J25+J31+J68+J80+J92+J50</f>
        <v>17100</v>
      </c>
      <c r="K156" s="50">
        <f t="shared" si="112"/>
        <v>0</v>
      </c>
      <c r="L156" s="50">
        <f t="shared" ref="L156" si="113">L13+L19+L25+L31+L68+L80+L92+L50</f>
        <v>0</v>
      </c>
      <c r="M156" s="50">
        <f t="shared" si="112"/>
        <v>0</v>
      </c>
    </row>
    <row r="157" spans="1:13" ht="16.5" customHeight="1" x14ac:dyDescent="0.25">
      <c r="A157" s="165" t="s">
        <v>29</v>
      </c>
      <c r="B157" s="166"/>
      <c r="C157" s="167"/>
      <c r="D157" s="22" t="s">
        <v>11</v>
      </c>
      <c r="E157" s="33">
        <f t="shared" si="89"/>
        <v>78248.350340000005</v>
      </c>
      <c r="F157" s="45">
        <f>SUM(F158:F162)</f>
        <v>25030.220419999998</v>
      </c>
      <c r="G157" s="46">
        <f t="shared" ref="G157:H157" si="114">SUM(G158:G162)</f>
        <v>19747.62487</v>
      </c>
      <c r="H157" s="45">
        <f t="shared" si="114"/>
        <v>19064.301870000003</v>
      </c>
      <c r="I157" s="45">
        <f t="shared" ref="I157:M157" si="115">SUM(I158:I162)</f>
        <v>8834.7059800000006</v>
      </c>
      <c r="J157" s="45">
        <f t="shared" si="115"/>
        <v>4031.4972000000002</v>
      </c>
      <c r="K157" s="45">
        <f t="shared" si="115"/>
        <v>770</v>
      </c>
      <c r="L157" s="45">
        <f t="shared" ref="L157" si="116">SUM(L158:L162)</f>
        <v>770</v>
      </c>
      <c r="M157" s="45">
        <f t="shared" si="115"/>
        <v>0</v>
      </c>
    </row>
    <row r="158" spans="1:13" outlineLevel="1" x14ac:dyDescent="0.25">
      <c r="A158" s="168"/>
      <c r="B158" s="169"/>
      <c r="C158" s="170"/>
      <c r="D158" s="26" t="s">
        <v>25</v>
      </c>
      <c r="E158" s="35">
        <f t="shared" si="89"/>
        <v>0</v>
      </c>
      <c r="F158" s="35">
        <f t="shared" ref="F158:K160" si="117">F33+F52+F58+F70+F82</f>
        <v>0</v>
      </c>
      <c r="G158" s="38">
        <f t="shared" si="117"/>
        <v>0</v>
      </c>
      <c r="H158" s="35">
        <f t="shared" si="117"/>
        <v>0</v>
      </c>
      <c r="I158" s="35">
        <f t="shared" si="117"/>
        <v>0</v>
      </c>
      <c r="J158" s="35">
        <f t="shared" si="117"/>
        <v>0</v>
      </c>
      <c r="K158" s="35">
        <f t="shared" si="117"/>
        <v>0</v>
      </c>
      <c r="L158" s="35">
        <f t="shared" ref="L158" si="118">L33+L52+L58+L70+L82</f>
        <v>0</v>
      </c>
      <c r="M158" s="35">
        <f>M33+M52+M58+M70+M82</f>
        <v>0</v>
      </c>
    </row>
    <row r="159" spans="1:13" ht="33" x14ac:dyDescent="0.25">
      <c r="A159" s="168"/>
      <c r="B159" s="169"/>
      <c r="C159" s="170"/>
      <c r="D159" s="26" t="s">
        <v>12</v>
      </c>
      <c r="E159" s="35">
        <f t="shared" si="89"/>
        <v>39186.097089999996</v>
      </c>
      <c r="F159" s="35">
        <f t="shared" si="117"/>
        <v>12542.654990000001</v>
      </c>
      <c r="G159" s="35">
        <f t="shared" si="117"/>
        <v>9697.3279000000002</v>
      </c>
      <c r="H159" s="35">
        <f t="shared" si="117"/>
        <v>10641.423480000001</v>
      </c>
      <c r="I159" s="35">
        <f t="shared" si="117"/>
        <v>6304.6907199999996</v>
      </c>
      <c r="J159" s="35">
        <f t="shared" si="117"/>
        <v>0</v>
      </c>
      <c r="K159" s="35">
        <f t="shared" si="117"/>
        <v>0</v>
      </c>
      <c r="L159" s="35">
        <f t="shared" ref="L159" si="119">L34+L53+L59+L71+L83</f>
        <v>0</v>
      </c>
      <c r="M159" s="35">
        <f>M34+M53+M59+M71+M83</f>
        <v>0</v>
      </c>
    </row>
    <row r="160" spans="1:13" x14ac:dyDescent="0.25">
      <c r="A160" s="168"/>
      <c r="B160" s="169"/>
      <c r="C160" s="170"/>
      <c r="D160" s="26" t="s">
        <v>13</v>
      </c>
      <c r="E160" s="35">
        <f t="shared" si="89"/>
        <v>11554.56639</v>
      </c>
      <c r="F160" s="35">
        <f t="shared" si="117"/>
        <v>4334.5420699999995</v>
      </c>
      <c r="G160" s="35">
        <f t="shared" si="117"/>
        <v>4256.03521</v>
      </c>
      <c r="H160" s="35">
        <f t="shared" si="117"/>
        <v>2184.75767</v>
      </c>
      <c r="I160" s="35">
        <f t="shared" si="117"/>
        <v>779.23144000000002</v>
      </c>
      <c r="J160" s="35">
        <f t="shared" si="117"/>
        <v>0</v>
      </c>
      <c r="K160" s="35">
        <f t="shared" si="117"/>
        <v>0</v>
      </c>
      <c r="L160" s="35">
        <f t="shared" ref="L160" si="120">L35+L54+L60+L72+L84</f>
        <v>0</v>
      </c>
      <c r="M160" s="35">
        <f>M35+M54+M60+M72+M84</f>
        <v>0</v>
      </c>
    </row>
    <row r="161" spans="1:13" x14ac:dyDescent="0.25">
      <c r="A161" s="168"/>
      <c r="B161" s="169"/>
      <c r="C161" s="170"/>
      <c r="D161" s="26" t="s">
        <v>115</v>
      </c>
      <c r="E161" s="35">
        <f t="shared" si="89"/>
        <v>27207.686860000002</v>
      </c>
      <c r="F161" s="50">
        <f>F36+F55+F61+F73+F85</f>
        <v>8153.0233600000001</v>
      </c>
      <c r="G161" s="50">
        <f t="shared" ref="G161:M161" si="121">G36+G55+G61+G73+G85</f>
        <v>5794.2617600000003</v>
      </c>
      <c r="H161" s="50">
        <f t="shared" si="121"/>
        <v>6238.1207200000008</v>
      </c>
      <c r="I161" s="50">
        <f t="shared" si="121"/>
        <v>1750.7838200000001</v>
      </c>
      <c r="J161" s="50">
        <f>J36+J55+J61+J73+J85</f>
        <v>3731.4972000000002</v>
      </c>
      <c r="K161" s="50">
        <f t="shared" si="121"/>
        <v>770</v>
      </c>
      <c r="L161" s="50">
        <f t="shared" ref="L161" si="122">L36+L55+L61+L73+L85</f>
        <v>770</v>
      </c>
      <c r="M161" s="50">
        <f t="shared" si="121"/>
        <v>0</v>
      </c>
    </row>
    <row r="162" spans="1:13" ht="24" customHeight="1" x14ac:dyDescent="0.25">
      <c r="A162" s="171"/>
      <c r="B162" s="172"/>
      <c r="C162" s="173"/>
      <c r="D162" s="26" t="s">
        <v>15</v>
      </c>
      <c r="E162" s="35">
        <f t="shared" si="89"/>
        <v>300</v>
      </c>
      <c r="F162" s="50">
        <f>F37+F56+F62+F74+F86</f>
        <v>0</v>
      </c>
      <c r="G162" s="49">
        <f>G37+G56+G62+G74+G86</f>
        <v>0</v>
      </c>
      <c r="H162" s="50">
        <f>H37+H56+H62+H74+H86</f>
        <v>0</v>
      </c>
      <c r="I162" s="50">
        <f>I37+I56+I62+I74+I86</f>
        <v>0</v>
      </c>
      <c r="J162" s="50">
        <f>J37+J56+J62+J74+J86</f>
        <v>300</v>
      </c>
      <c r="K162" s="50">
        <f>K37+K56+K62+K74+K86</f>
        <v>0</v>
      </c>
      <c r="L162" s="50">
        <f t="shared" ref="L162" si="123">L37+L56+L62+L74+L86</f>
        <v>0</v>
      </c>
      <c r="M162" s="50">
        <f>M37+M56+M62+M74+M86</f>
        <v>0</v>
      </c>
    </row>
    <row r="164" spans="1:13" x14ac:dyDescent="0.25">
      <c r="C164" s="3" t="s">
        <v>41</v>
      </c>
      <c r="E164" s="5">
        <f>E157+E151</f>
        <v>873565.7590399998</v>
      </c>
      <c r="F164" s="5">
        <f>F157+F151</f>
        <v>82755.785279999996</v>
      </c>
      <c r="G164" s="15">
        <f>G157+G151</f>
        <v>207472.35341999997</v>
      </c>
      <c r="H164" s="15">
        <f t="shared" ref="H164:M164" si="124">H157+H151</f>
        <v>208107.98268000002</v>
      </c>
      <c r="I164" s="15">
        <f t="shared" si="124"/>
        <v>299702.45595999993</v>
      </c>
      <c r="J164" s="15">
        <f t="shared" si="124"/>
        <v>49071.681699999994</v>
      </c>
      <c r="K164" s="15">
        <f t="shared" si="124"/>
        <v>10940.5</v>
      </c>
      <c r="L164" s="15">
        <f t="shared" ref="L164" si="125">L157+L151</f>
        <v>9962.7000000000007</v>
      </c>
      <c r="M164" s="15">
        <f t="shared" si="124"/>
        <v>5552.2999999999993</v>
      </c>
    </row>
    <row r="166" spans="1:13" x14ac:dyDescent="0.25">
      <c r="F166" s="5"/>
    </row>
    <row r="167" spans="1:13" x14ac:dyDescent="0.25">
      <c r="F167" s="5"/>
    </row>
  </sheetData>
  <mergeCells count="66">
    <mergeCell ref="A93:A98"/>
    <mergeCell ref="B93:B98"/>
    <mergeCell ref="C93:C98"/>
    <mergeCell ref="A45:A50"/>
    <mergeCell ref="B45:B50"/>
    <mergeCell ref="C45:C50"/>
    <mergeCell ref="C51:C56"/>
    <mergeCell ref="A57:A62"/>
    <mergeCell ref="B57:B62"/>
    <mergeCell ref="C57:C62"/>
    <mergeCell ref="A51:A56"/>
    <mergeCell ref="B51:B56"/>
    <mergeCell ref="C63:C68"/>
    <mergeCell ref="C75:C80"/>
    <mergeCell ref="A81:A86"/>
    <mergeCell ref="B81:B86"/>
    <mergeCell ref="G1:M1"/>
    <mergeCell ref="A2:M2"/>
    <mergeCell ref="A3:A5"/>
    <mergeCell ref="B3:B5"/>
    <mergeCell ref="C3:C5"/>
    <mergeCell ref="D3:D5"/>
    <mergeCell ref="E3:M3"/>
    <mergeCell ref="E4:E5"/>
    <mergeCell ref="G4:M4"/>
    <mergeCell ref="F4:F5"/>
    <mergeCell ref="B75:B80"/>
    <mergeCell ref="A7:M7"/>
    <mergeCell ref="A8:A13"/>
    <mergeCell ref="B8:B13"/>
    <mergeCell ref="C8:C13"/>
    <mergeCell ref="A14:A19"/>
    <mergeCell ref="B14:B19"/>
    <mergeCell ref="C14:C19"/>
    <mergeCell ref="A145:C150"/>
    <mergeCell ref="A138:C138"/>
    <mergeCell ref="A20:A25"/>
    <mergeCell ref="B20:B25"/>
    <mergeCell ref="C20:C25"/>
    <mergeCell ref="C26:C31"/>
    <mergeCell ref="A38:C43"/>
    <mergeCell ref="A99:C104"/>
    <mergeCell ref="C32:C37"/>
    <mergeCell ref="A26:A37"/>
    <mergeCell ref="B26:B37"/>
    <mergeCell ref="C69:C74"/>
    <mergeCell ref="A63:A74"/>
    <mergeCell ref="B63:B74"/>
    <mergeCell ref="A44:M44"/>
    <mergeCell ref="A75:A80"/>
    <mergeCell ref="A139:C144"/>
    <mergeCell ref="C81:C86"/>
    <mergeCell ref="A157:C162"/>
    <mergeCell ref="A151:C156"/>
    <mergeCell ref="A87:A92"/>
    <mergeCell ref="B87:B92"/>
    <mergeCell ref="C87:C92"/>
    <mergeCell ref="A119:C124"/>
    <mergeCell ref="A105:M105"/>
    <mergeCell ref="A106:A111"/>
    <mergeCell ref="B106:B111"/>
    <mergeCell ref="C106:C111"/>
    <mergeCell ref="A112:C117"/>
    <mergeCell ref="A125:C125"/>
    <mergeCell ref="A126:C131"/>
    <mergeCell ref="A132:C137"/>
  </mergeCells>
  <pageMargins left="0.23622047244094491" right="0.23622047244094491" top="0.39370078740157483" bottom="0.39370078740157483" header="0.31496062992125984" footer="0.31496062992125984"/>
  <pageSetup paperSize="9" scale="44" fitToHeight="0" orientation="landscape" r:id="rId1"/>
  <rowBreaks count="1" manualBreakCount="1">
    <brk id="6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view="pageBreakPreview" topLeftCell="A16" zoomScale="80" zoomScaleNormal="100" zoomScaleSheetLayoutView="80" workbookViewId="0">
      <selection activeCell="C20" sqref="C20"/>
    </sheetView>
  </sheetViews>
  <sheetFormatPr defaultRowHeight="15" x14ac:dyDescent="0.25"/>
  <cols>
    <col min="1" max="1" width="14.85546875" customWidth="1"/>
    <col min="2" max="2" width="27.42578125" customWidth="1"/>
    <col min="3" max="3" width="34.42578125" customWidth="1"/>
    <col min="4" max="4" width="21.140625" customWidth="1"/>
  </cols>
  <sheetData>
    <row r="1" spans="1:4" x14ac:dyDescent="0.25">
      <c r="A1" s="95"/>
      <c r="B1" s="95"/>
      <c r="C1" s="95"/>
      <c r="D1" s="100" t="s">
        <v>51</v>
      </c>
    </row>
    <row r="2" spans="1:4" x14ac:dyDescent="0.25">
      <c r="A2" s="222" t="s">
        <v>52</v>
      </c>
      <c r="B2" s="222"/>
      <c r="C2" s="222"/>
      <c r="D2" s="222"/>
    </row>
    <row r="4" spans="1:4" ht="114" customHeight="1" x14ac:dyDescent="0.25">
      <c r="A4" s="96" t="s">
        <v>45</v>
      </c>
      <c r="B4" s="96" t="s">
        <v>53</v>
      </c>
      <c r="C4" s="96" t="s">
        <v>54</v>
      </c>
      <c r="D4" s="96" t="s">
        <v>55</v>
      </c>
    </row>
    <row r="5" spans="1:4" x14ac:dyDescent="0.25">
      <c r="A5" s="97">
        <v>1</v>
      </c>
      <c r="B5" s="97">
        <v>2</v>
      </c>
      <c r="C5" s="97">
        <v>3</v>
      </c>
      <c r="D5" s="97">
        <v>4</v>
      </c>
    </row>
    <row r="6" spans="1:4" ht="26.25" customHeight="1" x14ac:dyDescent="0.25">
      <c r="A6" s="221" t="s">
        <v>129</v>
      </c>
      <c r="B6" s="221"/>
      <c r="C6" s="221"/>
      <c r="D6" s="221"/>
    </row>
    <row r="7" spans="1:4" ht="86.25" customHeight="1" x14ac:dyDescent="0.25">
      <c r="A7" s="220" t="s">
        <v>130</v>
      </c>
      <c r="B7" s="220"/>
      <c r="C7" s="220"/>
      <c r="D7" s="220"/>
    </row>
    <row r="8" spans="1:4" ht="26.25" customHeight="1" x14ac:dyDescent="0.25">
      <c r="A8" s="221" t="s">
        <v>56</v>
      </c>
      <c r="B8" s="221"/>
      <c r="C8" s="221"/>
      <c r="D8" s="221"/>
    </row>
    <row r="9" spans="1:4" ht="109.5" customHeight="1" x14ac:dyDescent="0.25">
      <c r="A9" s="98" t="s">
        <v>9</v>
      </c>
      <c r="B9" s="99" t="s">
        <v>57</v>
      </c>
      <c r="C9" s="99" t="s">
        <v>59</v>
      </c>
      <c r="D9" s="99"/>
    </row>
    <row r="10" spans="1:4" s="94" customFormat="1" ht="75.75" customHeight="1" x14ac:dyDescent="0.25">
      <c r="A10" s="98" t="s">
        <v>17</v>
      </c>
      <c r="B10" s="99" t="s">
        <v>58</v>
      </c>
      <c r="C10" s="99" t="s">
        <v>60</v>
      </c>
      <c r="D10" s="99"/>
    </row>
    <row r="11" spans="1:4" x14ac:dyDescent="0.25">
      <c r="A11" s="223" t="s">
        <v>131</v>
      </c>
      <c r="B11" s="224"/>
      <c r="C11" s="224"/>
      <c r="D11" s="225"/>
    </row>
    <row r="12" spans="1:4" ht="127.5" customHeight="1" x14ac:dyDescent="0.25">
      <c r="A12" s="223" t="s">
        <v>132</v>
      </c>
      <c r="B12" s="224"/>
      <c r="C12" s="224"/>
      <c r="D12" s="225"/>
    </row>
    <row r="13" spans="1:4" x14ac:dyDescent="0.25">
      <c r="A13" s="220" t="s">
        <v>43</v>
      </c>
      <c r="B13" s="220"/>
      <c r="C13" s="220"/>
      <c r="D13" s="220"/>
    </row>
    <row r="14" spans="1:4" s="94" customFormat="1" ht="80.25" customHeight="1" x14ac:dyDescent="0.25">
      <c r="A14" s="98"/>
      <c r="B14" s="99" t="s">
        <v>128</v>
      </c>
      <c r="C14" s="99" t="s">
        <v>66</v>
      </c>
      <c r="D14" s="99"/>
    </row>
    <row r="15" spans="1:4" ht="80.25" customHeight="1" x14ac:dyDescent="0.25">
      <c r="A15" s="98" t="s">
        <v>9</v>
      </c>
      <c r="B15" s="99" t="s">
        <v>61</v>
      </c>
      <c r="C15" s="99" t="s">
        <v>66</v>
      </c>
      <c r="D15" s="99"/>
    </row>
    <row r="16" spans="1:4" s="94" customFormat="1" ht="59.25" customHeight="1" x14ac:dyDescent="0.25">
      <c r="A16" s="98" t="s">
        <v>17</v>
      </c>
      <c r="B16" s="99" t="s">
        <v>62</v>
      </c>
      <c r="C16" s="99" t="s">
        <v>68</v>
      </c>
      <c r="D16" s="99"/>
    </row>
    <row r="17" spans="1:4" s="94" customFormat="1" ht="79.5" customHeight="1" x14ac:dyDescent="0.25">
      <c r="A17" s="98" t="s">
        <v>20</v>
      </c>
      <c r="B17" s="99" t="s">
        <v>63</v>
      </c>
      <c r="C17" s="99" t="s">
        <v>69</v>
      </c>
      <c r="D17" s="99"/>
    </row>
    <row r="18" spans="1:4" s="94" customFormat="1" ht="65.25" customHeight="1" x14ac:dyDescent="0.25">
      <c r="A18" s="98" t="s">
        <v>21</v>
      </c>
      <c r="B18" s="99" t="s">
        <v>64</v>
      </c>
      <c r="C18" s="99" t="s">
        <v>67</v>
      </c>
      <c r="D18" s="99"/>
    </row>
    <row r="19" spans="1:4" s="94" customFormat="1" ht="63.75" customHeight="1" x14ac:dyDescent="0.25">
      <c r="A19" s="98" t="s">
        <v>22</v>
      </c>
      <c r="B19" s="99" t="s">
        <v>65</v>
      </c>
      <c r="C19" s="99" t="s">
        <v>70</v>
      </c>
      <c r="D19" s="99"/>
    </row>
    <row r="20" spans="1:4" s="94" customFormat="1" ht="63.75" customHeight="1" x14ac:dyDescent="0.25">
      <c r="A20" s="98" t="s">
        <v>141</v>
      </c>
      <c r="B20" s="99" t="s">
        <v>142</v>
      </c>
      <c r="C20" s="99" t="s">
        <v>143</v>
      </c>
      <c r="D20" s="154"/>
    </row>
    <row r="21" spans="1:4" s="94" customFormat="1" x14ac:dyDescent="0.25">
      <c r="A21" s="223" t="s">
        <v>133</v>
      </c>
      <c r="B21" s="224"/>
      <c r="C21" s="224"/>
      <c r="D21" s="225"/>
    </row>
    <row r="22" spans="1:4" s="94" customFormat="1" ht="30" customHeight="1" x14ac:dyDescent="0.25">
      <c r="A22" s="217" t="s">
        <v>134</v>
      </c>
      <c r="B22" s="218"/>
      <c r="C22" s="218"/>
      <c r="D22" s="219"/>
    </row>
    <row r="23" spans="1:4" s="94" customFormat="1" x14ac:dyDescent="0.25">
      <c r="A23" s="220" t="s">
        <v>44</v>
      </c>
      <c r="B23" s="220"/>
      <c r="C23" s="220"/>
      <c r="D23" s="220"/>
    </row>
    <row r="24" spans="1:4" s="94" customFormat="1" ht="97.5" customHeight="1" x14ac:dyDescent="0.25">
      <c r="A24" s="98" t="s">
        <v>9</v>
      </c>
      <c r="B24" s="99" t="s">
        <v>71</v>
      </c>
      <c r="C24" s="99" t="s">
        <v>125</v>
      </c>
      <c r="D24" s="99"/>
    </row>
  </sheetData>
  <mergeCells count="10">
    <mergeCell ref="A2:D2"/>
    <mergeCell ref="A11:D11"/>
    <mergeCell ref="A8:D8"/>
    <mergeCell ref="A12:D12"/>
    <mergeCell ref="A21:D21"/>
    <mergeCell ref="A22:D22"/>
    <mergeCell ref="A23:D23"/>
    <mergeCell ref="A13:D13"/>
    <mergeCell ref="A6:D6"/>
    <mergeCell ref="A7:D7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view="pageBreakPreview" zoomScale="60" zoomScaleNormal="100" workbookViewId="0">
      <selection activeCell="H25" sqref="H25"/>
    </sheetView>
  </sheetViews>
  <sheetFormatPr defaultRowHeight="15" x14ac:dyDescent="0.25"/>
  <cols>
    <col min="2" max="2" width="15.5703125" customWidth="1"/>
    <col min="3" max="3" width="12.42578125" customWidth="1"/>
    <col min="4" max="4" width="20.28515625" customWidth="1"/>
    <col min="5" max="5" width="11.7109375" customWidth="1"/>
    <col min="6" max="6" width="13.5703125" customWidth="1"/>
    <col min="7" max="7" width="12.42578125" customWidth="1"/>
    <col min="11" max="11" width="9.140625" style="94"/>
    <col min="13" max="13" width="12.5703125" customWidth="1"/>
    <col min="14" max="14" width="20.42578125" customWidth="1"/>
  </cols>
  <sheetData>
    <row r="1" spans="1:14" ht="15.75" x14ac:dyDescent="0.25">
      <c r="A1" s="226" t="s">
        <v>72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</row>
    <row r="2" spans="1:14" ht="15.75" x14ac:dyDescent="0.25">
      <c r="A2" s="227" t="s">
        <v>73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</row>
    <row r="3" spans="1:14" ht="53.25" customHeight="1" x14ac:dyDescent="0.25">
      <c r="A3" s="228" t="s">
        <v>140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</row>
    <row r="4" spans="1:14" ht="15.75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34"/>
      <c r="L4" s="101"/>
      <c r="M4" s="101"/>
      <c r="N4" s="101"/>
    </row>
    <row r="5" spans="1:14" ht="15.75" x14ac:dyDescent="0.25">
      <c r="A5" s="229" t="s">
        <v>74</v>
      </c>
      <c r="B5" s="229" t="s">
        <v>75</v>
      </c>
      <c r="C5" s="229" t="s">
        <v>76</v>
      </c>
      <c r="D5" s="229" t="s">
        <v>77</v>
      </c>
      <c r="E5" s="229" t="s">
        <v>78</v>
      </c>
      <c r="F5" s="229" t="s">
        <v>139</v>
      </c>
      <c r="G5" s="229" t="s">
        <v>79</v>
      </c>
      <c r="H5" s="232" t="s">
        <v>80</v>
      </c>
      <c r="I5" s="232"/>
      <c r="J5" s="232"/>
      <c r="K5" s="232"/>
      <c r="L5" s="232"/>
      <c r="M5" s="229" t="s">
        <v>81</v>
      </c>
      <c r="N5" s="229" t="s">
        <v>82</v>
      </c>
    </row>
    <row r="6" spans="1:14" ht="15.75" x14ac:dyDescent="0.25">
      <c r="A6" s="230"/>
      <c r="B6" s="230"/>
      <c r="C6" s="230"/>
      <c r="D6" s="230"/>
      <c r="E6" s="230"/>
      <c r="F6" s="230"/>
      <c r="G6" s="230"/>
      <c r="H6" s="232" t="s">
        <v>11</v>
      </c>
      <c r="I6" s="232" t="s">
        <v>6</v>
      </c>
      <c r="J6" s="232"/>
      <c r="K6" s="232"/>
      <c r="L6" s="232"/>
      <c r="M6" s="230"/>
      <c r="N6" s="230"/>
    </row>
    <row r="7" spans="1:14" ht="48" customHeight="1" x14ac:dyDescent="0.25">
      <c r="A7" s="231"/>
      <c r="B7" s="231"/>
      <c r="C7" s="231"/>
      <c r="D7" s="231"/>
      <c r="E7" s="231"/>
      <c r="F7" s="231"/>
      <c r="G7" s="231"/>
      <c r="H7" s="232"/>
      <c r="I7" s="102" t="s">
        <v>83</v>
      </c>
      <c r="J7" s="102" t="s">
        <v>84</v>
      </c>
      <c r="K7" s="102" t="s">
        <v>85</v>
      </c>
      <c r="L7" s="153" t="s">
        <v>136</v>
      </c>
      <c r="M7" s="231"/>
      <c r="N7" s="231"/>
    </row>
    <row r="8" spans="1:14" x14ac:dyDescent="0.25">
      <c r="A8" s="103">
        <v>1</v>
      </c>
      <c r="B8" s="103">
        <v>2</v>
      </c>
      <c r="C8" s="103">
        <v>3</v>
      </c>
      <c r="D8" s="103">
        <v>4</v>
      </c>
      <c r="E8" s="103">
        <v>5</v>
      </c>
      <c r="F8" s="103">
        <v>6</v>
      </c>
      <c r="G8" s="103">
        <v>7</v>
      </c>
      <c r="H8" s="103">
        <v>8</v>
      </c>
      <c r="I8" s="103">
        <v>9</v>
      </c>
      <c r="J8" s="103">
        <v>10</v>
      </c>
      <c r="K8" s="136">
        <v>11</v>
      </c>
      <c r="L8" s="103">
        <v>12</v>
      </c>
      <c r="M8" s="103">
        <v>13</v>
      </c>
      <c r="N8" s="103">
        <v>14</v>
      </c>
    </row>
    <row r="9" spans="1:14" ht="15.75" x14ac:dyDescent="0.25">
      <c r="A9" s="104"/>
      <c r="B9" s="105"/>
      <c r="C9" s="106"/>
      <c r="D9" s="106"/>
      <c r="E9" s="107"/>
      <c r="F9" s="106"/>
      <c r="G9" s="106"/>
      <c r="H9" s="108"/>
      <c r="I9" s="108"/>
      <c r="J9" s="109"/>
      <c r="K9" s="138"/>
      <c r="L9" s="109"/>
      <c r="M9" s="106"/>
      <c r="N9" s="110"/>
    </row>
    <row r="10" spans="1:14" ht="15.75" x14ac:dyDescent="0.25">
      <c r="A10" s="104"/>
      <c r="B10" s="105"/>
      <c r="C10" s="106"/>
      <c r="D10" s="106"/>
      <c r="E10" s="106"/>
      <c r="F10" s="106"/>
      <c r="G10" s="106"/>
      <c r="H10" s="108"/>
      <c r="I10" s="108"/>
      <c r="J10" s="108"/>
      <c r="K10" s="137"/>
      <c r="L10" s="108"/>
      <c r="M10" s="106"/>
      <c r="N10" s="110"/>
    </row>
    <row r="11" spans="1:14" ht="15.75" x14ac:dyDescent="0.25">
      <c r="A11" s="111"/>
      <c r="B11" s="112"/>
      <c r="C11" s="108"/>
      <c r="D11" s="108"/>
      <c r="E11" s="108"/>
      <c r="F11" s="108"/>
      <c r="G11" s="108"/>
      <c r="H11" s="108"/>
      <c r="I11" s="108"/>
      <c r="J11" s="108"/>
      <c r="K11" s="137"/>
      <c r="L11" s="108"/>
      <c r="M11" s="108"/>
      <c r="N11" s="110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26" t="s">
        <v>86</v>
      </c>
      <c r="B1" s="226"/>
      <c r="C1" s="226"/>
      <c r="D1" s="226"/>
      <c r="E1" s="226"/>
      <c r="F1" s="226"/>
      <c r="G1" s="226"/>
    </row>
    <row r="2" spans="1:7" ht="15.75" x14ac:dyDescent="0.25">
      <c r="A2" s="227" t="s">
        <v>87</v>
      </c>
      <c r="B2" s="227"/>
      <c r="C2" s="227"/>
      <c r="D2" s="227"/>
      <c r="E2" s="227"/>
      <c r="F2" s="227"/>
      <c r="G2" s="227"/>
    </row>
    <row r="3" spans="1:7" ht="15.75" x14ac:dyDescent="0.25">
      <c r="A3" s="114"/>
      <c r="B3" s="114"/>
      <c r="C3" s="114"/>
      <c r="D3" s="114"/>
      <c r="E3" s="114"/>
      <c r="F3" s="114"/>
      <c r="G3" s="114"/>
    </row>
    <row r="4" spans="1:7" ht="96.75" customHeight="1" x14ac:dyDescent="0.25">
      <c r="A4" s="123" t="s">
        <v>1</v>
      </c>
      <c r="B4" s="123" t="s">
        <v>116</v>
      </c>
      <c r="C4" s="123" t="s">
        <v>76</v>
      </c>
      <c r="D4" s="123" t="s">
        <v>88</v>
      </c>
      <c r="E4" s="123" t="s">
        <v>89</v>
      </c>
      <c r="F4" s="123" t="s">
        <v>90</v>
      </c>
      <c r="G4" s="123" t="s">
        <v>91</v>
      </c>
    </row>
    <row r="5" spans="1:7" x14ac:dyDescent="0.25">
      <c r="A5" s="115">
        <v>1</v>
      </c>
      <c r="B5" s="115">
        <v>2</v>
      </c>
      <c r="C5" s="115">
        <v>3</v>
      </c>
      <c r="D5" s="115">
        <v>4</v>
      </c>
      <c r="E5" s="115">
        <v>5</v>
      </c>
      <c r="F5" s="115">
        <v>6</v>
      </c>
      <c r="G5" s="115">
        <v>7</v>
      </c>
    </row>
    <row r="6" spans="1:7" ht="15.75" x14ac:dyDescent="0.25">
      <c r="A6" s="116"/>
      <c r="B6" s="117"/>
      <c r="C6" s="118"/>
      <c r="D6" s="118"/>
      <c r="E6" s="118"/>
      <c r="F6" s="118"/>
      <c r="G6" s="120"/>
    </row>
    <row r="7" spans="1:7" ht="15.75" x14ac:dyDescent="0.25">
      <c r="A7" s="116"/>
      <c r="B7" s="117"/>
      <c r="C7" s="118"/>
      <c r="D7" s="118"/>
      <c r="E7" s="118"/>
      <c r="F7" s="118"/>
      <c r="G7" s="120"/>
    </row>
    <row r="8" spans="1:7" ht="15.75" x14ac:dyDescent="0.25">
      <c r="A8" s="121"/>
      <c r="B8" s="122"/>
      <c r="C8" s="119"/>
      <c r="D8" s="119"/>
      <c r="E8" s="119"/>
      <c r="F8" s="119"/>
      <c r="G8" s="120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26" t="s">
        <v>92</v>
      </c>
      <c r="B1" s="226"/>
      <c r="C1" s="226"/>
      <c r="D1" s="226"/>
    </row>
    <row r="2" spans="1:4" ht="15.75" x14ac:dyDescent="0.25">
      <c r="A2" s="227" t="s">
        <v>93</v>
      </c>
      <c r="B2" s="227"/>
      <c r="C2" s="227"/>
      <c r="D2" s="227"/>
    </row>
    <row r="3" spans="1:4" ht="15.75" x14ac:dyDescent="0.25">
      <c r="A3" s="233" t="s">
        <v>94</v>
      </c>
      <c r="B3" s="233"/>
      <c r="C3" s="233"/>
      <c r="D3" s="233"/>
    </row>
    <row r="4" spans="1:4" ht="15.75" x14ac:dyDescent="0.25">
      <c r="A4" s="227" t="s">
        <v>95</v>
      </c>
      <c r="B4" s="227"/>
      <c r="C4" s="227"/>
      <c r="D4" s="227"/>
    </row>
    <row r="5" spans="1:4" ht="15.75" x14ac:dyDescent="0.25">
      <c r="A5" s="124"/>
      <c r="B5" s="124"/>
      <c r="C5" s="124"/>
      <c r="D5" s="124"/>
    </row>
    <row r="6" spans="1:4" ht="125.25" customHeight="1" x14ac:dyDescent="0.25">
      <c r="A6" s="132" t="s">
        <v>1</v>
      </c>
      <c r="B6" s="132" t="s">
        <v>117</v>
      </c>
      <c r="C6" s="132" t="s">
        <v>96</v>
      </c>
      <c r="D6" s="132" t="s">
        <v>97</v>
      </c>
    </row>
    <row r="7" spans="1:4" x14ac:dyDescent="0.25">
      <c r="A7" s="125">
        <v>1</v>
      </c>
      <c r="B7" s="125">
        <v>2</v>
      </c>
      <c r="C7" s="125">
        <v>3</v>
      </c>
      <c r="D7" s="125">
        <v>4</v>
      </c>
    </row>
    <row r="8" spans="1:4" ht="15.75" x14ac:dyDescent="0.25">
      <c r="A8" s="126"/>
      <c r="B8" s="127"/>
      <c r="C8" s="128"/>
      <c r="D8" s="128"/>
    </row>
    <row r="9" spans="1:4" ht="15.75" x14ac:dyDescent="0.25">
      <c r="A9" s="126"/>
      <c r="B9" s="127"/>
      <c r="C9" s="128"/>
      <c r="D9" s="128"/>
    </row>
    <row r="10" spans="1:4" ht="15.75" x14ac:dyDescent="0.25">
      <c r="A10" s="130"/>
      <c r="B10" s="131"/>
      <c r="C10" s="129"/>
      <c r="D10" s="129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26" t="s">
        <v>98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0" ht="15.75" x14ac:dyDescent="0.25">
      <c r="A2" s="227" t="s">
        <v>99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0" ht="15.75" x14ac:dyDescent="0.25">
      <c r="A3" s="228" t="s">
        <v>100</v>
      </c>
      <c r="B3" s="228"/>
      <c r="C3" s="228"/>
      <c r="D3" s="228"/>
      <c r="E3" s="228"/>
      <c r="F3" s="228"/>
      <c r="G3" s="228"/>
      <c r="H3" s="228"/>
      <c r="I3" s="228"/>
      <c r="J3" s="228"/>
    </row>
    <row r="4" spans="1:10" ht="15.75" x14ac:dyDescent="0.25">
      <c r="A4" s="134"/>
      <c r="B4" s="134"/>
      <c r="C4" s="134"/>
      <c r="D4" s="134"/>
      <c r="E4" s="134"/>
      <c r="F4" s="134"/>
      <c r="G4" s="134"/>
      <c r="H4" s="134"/>
      <c r="I4" s="134"/>
      <c r="J4" s="134"/>
    </row>
    <row r="5" spans="1:10" ht="50.25" customHeight="1" x14ac:dyDescent="0.25">
      <c r="A5" s="229" t="s">
        <v>1</v>
      </c>
      <c r="B5" s="229" t="s">
        <v>101</v>
      </c>
      <c r="C5" s="229" t="s">
        <v>102</v>
      </c>
      <c r="D5" s="229" t="s">
        <v>103</v>
      </c>
      <c r="E5" s="229" t="s">
        <v>104</v>
      </c>
      <c r="F5" s="232" t="s">
        <v>105</v>
      </c>
      <c r="G5" s="232"/>
      <c r="H5" s="232"/>
      <c r="I5" s="232"/>
      <c r="J5" s="232"/>
    </row>
    <row r="6" spans="1:10" ht="15.75" x14ac:dyDescent="0.25">
      <c r="A6" s="230"/>
      <c r="B6" s="230"/>
      <c r="C6" s="230"/>
      <c r="D6" s="230"/>
      <c r="E6" s="230"/>
      <c r="F6" s="232" t="s">
        <v>11</v>
      </c>
      <c r="G6" s="232" t="s">
        <v>6</v>
      </c>
      <c r="H6" s="232"/>
      <c r="I6" s="232"/>
      <c r="J6" s="232"/>
    </row>
    <row r="7" spans="1:10" ht="31.5" x14ac:dyDescent="0.25">
      <c r="A7" s="231"/>
      <c r="B7" s="231"/>
      <c r="C7" s="231"/>
      <c r="D7" s="231"/>
      <c r="E7" s="231"/>
      <c r="F7" s="232"/>
      <c r="G7" s="135" t="s">
        <v>106</v>
      </c>
      <c r="H7" s="135" t="s">
        <v>106</v>
      </c>
      <c r="I7" s="135" t="s">
        <v>106</v>
      </c>
      <c r="J7" s="135" t="s">
        <v>107</v>
      </c>
    </row>
    <row r="8" spans="1:10" x14ac:dyDescent="0.25">
      <c r="A8" s="136">
        <v>1</v>
      </c>
      <c r="B8" s="136">
        <v>2</v>
      </c>
      <c r="C8" s="136">
        <v>3</v>
      </c>
      <c r="D8" s="136">
        <v>4</v>
      </c>
      <c r="E8" s="136">
        <v>5</v>
      </c>
      <c r="F8" s="136">
        <v>6</v>
      </c>
      <c r="G8" s="136">
        <v>7</v>
      </c>
      <c r="H8" s="136">
        <v>8</v>
      </c>
      <c r="I8" s="136">
        <v>9</v>
      </c>
      <c r="J8" s="136">
        <v>10</v>
      </c>
    </row>
    <row r="9" spans="1:10" ht="15.75" x14ac:dyDescent="0.25">
      <c r="A9" s="139"/>
      <c r="B9" s="140"/>
      <c r="C9" s="137"/>
      <c r="D9" s="137"/>
      <c r="E9" s="138"/>
      <c r="F9" s="137"/>
      <c r="G9" s="137"/>
      <c r="H9" s="138"/>
      <c r="I9" s="138"/>
      <c r="J9" s="138"/>
    </row>
    <row r="10" spans="1:10" ht="15.75" x14ac:dyDescent="0.25">
      <c r="A10" s="139"/>
      <c r="B10" s="140"/>
      <c r="C10" s="137"/>
      <c r="D10" s="137"/>
      <c r="E10" s="137"/>
      <c r="F10" s="137"/>
      <c r="G10" s="137"/>
      <c r="H10" s="137"/>
      <c r="I10" s="137"/>
      <c r="J10" s="137"/>
    </row>
    <row r="11" spans="1:10" ht="15.75" x14ac:dyDescent="0.25">
      <c r="A11" s="139"/>
      <c r="B11" s="140"/>
      <c r="C11" s="137"/>
      <c r="D11" s="137"/>
      <c r="E11" s="137"/>
      <c r="F11" s="137"/>
      <c r="G11" s="137"/>
      <c r="H11" s="137"/>
      <c r="I11" s="137"/>
      <c r="J11" s="1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view="pageBreakPreview" zoomScale="60" zoomScaleNormal="100" workbookViewId="0">
      <selection activeCell="L8" sqref="L8"/>
    </sheetView>
  </sheetViews>
  <sheetFormatPr defaultRowHeight="15" x14ac:dyDescent="0.25"/>
  <cols>
    <col min="1" max="1" width="9.85546875" customWidth="1"/>
    <col min="2" max="2" width="24.42578125" customWidth="1"/>
    <col min="3" max="3" width="15.28515625" customWidth="1"/>
    <col min="10" max="10" width="9.140625" style="94"/>
    <col min="12" max="12" width="18.7109375" customWidth="1"/>
  </cols>
  <sheetData>
    <row r="1" spans="1:12" x14ac:dyDescent="0.25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9" t="s">
        <v>108</v>
      </c>
    </row>
    <row r="2" spans="1:12" x14ac:dyDescent="0.25">
      <c r="A2" s="235" t="s">
        <v>109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</row>
    <row r="3" spans="1:12" x14ac:dyDescent="0.25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</row>
    <row r="4" spans="1:12" x14ac:dyDescent="0.25">
      <c r="A4" s="141"/>
      <c r="B4" s="148"/>
      <c r="C4" s="141"/>
      <c r="D4" s="141"/>
      <c r="E4" s="141"/>
      <c r="F4" s="141"/>
      <c r="G4" s="141"/>
      <c r="H4" s="141"/>
      <c r="I4" s="141"/>
      <c r="J4" s="141"/>
      <c r="K4" s="141"/>
      <c r="L4" s="141"/>
    </row>
    <row r="5" spans="1:12" x14ac:dyDescent="0.25">
      <c r="A5" s="234" t="s">
        <v>110</v>
      </c>
      <c r="B5" s="234" t="s">
        <v>111</v>
      </c>
      <c r="C5" s="234" t="s">
        <v>112</v>
      </c>
      <c r="D5" s="234" t="s">
        <v>113</v>
      </c>
      <c r="E5" s="234"/>
      <c r="F5" s="234"/>
      <c r="G5" s="234"/>
      <c r="H5" s="234"/>
      <c r="I5" s="234"/>
      <c r="J5" s="234"/>
      <c r="K5" s="234"/>
      <c r="L5" s="234" t="s">
        <v>114</v>
      </c>
    </row>
    <row r="6" spans="1:12" ht="78.75" customHeight="1" x14ac:dyDescent="0.25">
      <c r="A6" s="234"/>
      <c r="B6" s="234"/>
      <c r="C6" s="234"/>
      <c r="D6" s="143" t="s">
        <v>7</v>
      </c>
      <c r="E6" s="143" t="s">
        <v>8</v>
      </c>
      <c r="F6" s="143" t="s">
        <v>34</v>
      </c>
      <c r="G6" s="143" t="s">
        <v>35</v>
      </c>
      <c r="H6" s="143" t="s">
        <v>36</v>
      </c>
      <c r="I6" s="143" t="s">
        <v>37</v>
      </c>
      <c r="J6" s="152" t="s">
        <v>137</v>
      </c>
      <c r="K6" s="143" t="s">
        <v>138</v>
      </c>
      <c r="L6" s="234"/>
    </row>
    <row r="7" spans="1:12" x14ac:dyDescent="0.25">
      <c r="A7" s="143">
        <v>1</v>
      </c>
      <c r="B7" s="143">
        <v>2</v>
      </c>
      <c r="C7" s="143">
        <v>3</v>
      </c>
      <c r="D7" s="143">
        <v>4</v>
      </c>
      <c r="E7" s="143">
        <v>5</v>
      </c>
      <c r="F7" s="143">
        <v>6</v>
      </c>
      <c r="G7" s="143">
        <v>7</v>
      </c>
      <c r="H7" s="143">
        <v>8</v>
      </c>
      <c r="I7" s="144">
        <v>9</v>
      </c>
      <c r="J7" s="144">
        <v>10</v>
      </c>
      <c r="K7" s="143">
        <v>11</v>
      </c>
      <c r="L7" s="145">
        <v>12</v>
      </c>
    </row>
    <row r="8" spans="1:12" ht="39" customHeight="1" x14ac:dyDescent="0.25">
      <c r="A8" s="143"/>
      <c r="B8" s="142"/>
      <c r="C8" s="146"/>
      <c r="D8" s="147"/>
      <c r="E8" s="147"/>
      <c r="F8" s="147"/>
      <c r="G8" s="147"/>
      <c r="H8" s="147"/>
      <c r="I8" s="147"/>
      <c r="J8" s="147"/>
      <c r="K8" s="146"/>
      <c r="L8" s="146"/>
    </row>
    <row r="9" spans="1:12" ht="47.45" customHeight="1" x14ac:dyDescent="0.25">
      <c r="A9" s="143"/>
      <c r="B9" s="142"/>
      <c r="C9" s="146"/>
      <c r="D9" s="147"/>
      <c r="E9" s="147"/>
      <c r="F9" s="147"/>
      <c r="G9" s="147"/>
      <c r="H9" s="147"/>
      <c r="I9" s="147"/>
      <c r="J9" s="147"/>
      <c r="K9" s="146"/>
      <c r="L9" s="146"/>
    </row>
    <row r="10" spans="1:12" ht="43.15" customHeight="1" x14ac:dyDescent="0.25">
      <c r="A10" s="143"/>
      <c r="B10" s="142"/>
      <c r="C10" s="133"/>
      <c r="D10" s="113"/>
      <c r="E10" s="113"/>
      <c r="F10" s="113"/>
      <c r="G10" s="113"/>
      <c r="H10" s="113"/>
      <c r="I10" s="113"/>
      <c r="J10" s="113"/>
      <c r="K10" s="133"/>
      <c r="L10" s="133"/>
    </row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2023-05-29T05:20:16Z</cp:lastPrinted>
  <dcterms:created xsi:type="dcterms:W3CDTF">2017-05-29T12:41:03Z</dcterms:created>
  <dcterms:modified xsi:type="dcterms:W3CDTF">2023-06-27T05:46:22Z</dcterms:modified>
</cp:coreProperties>
</file>