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30\сетевая\!Структура папок\!МУ Администрация\Отдел по организационно-кадровой работе\Давыдова К.К\Отчеты за 2кв.2015года\постановление  по исполнению бюджета\"/>
    </mc:Choice>
  </mc:AlternateContent>
  <bookViews>
    <workbookView xWindow="0" yWindow="0" windowWidth="19200" windowHeight="11295"/>
  </bookViews>
  <sheets>
    <sheet name="0503117 Отчет об исп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4" i="1" l="1"/>
  <c r="D114" i="1"/>
  <c r="F113" i="1"/>
  <c r="E113" i="1"/>
  <c r="D113" i="1"/>
  <c r="F112" i="1"/>
  <c r="E112" i="1"/>
  <c r="D112" i="1"/>
  <c r="F111" i="1"/>
  <c r="E111" i="1"/>
  <c r="D111" i="1"/>
  <c r="F110" i="1"/>
  <c r="D110" i="1"/>
  <c r="F109" i="1"/>
  <c r="E109" i="1"/>
  <c r="D109" i="1"/>
  <c r="F108" i="1"/>
  <c r="E108" i="1"/>
  <c r="D108" i="1"/>
  <c r="F107" i="1"/>
  <c r="D107" i="1"/>
  <c r="F106" i="1"/>
  <c r="D106" i="1"/>
  <c r="F105" i="1"/>
  <c r="D105" i="1"/>
  <c r="F104" i="1"/>
  <c r="E104" i="1"/>
  <c r="D104" i="1"/>
  <c r="F103" i="1"/>
  <c r="E103" i="1"/>
  <c r="D103" i="1"/>
  <c r="F102" i="1"/>
  <c r="E102" i="1"/>
  <c r="D102" i="1"/>
  <c r="F101" i="1"/>
  <c r="E101" i="1"/>
  <c r="D101" i="1"/>
  <c r="F100" i="1"/>
  <c r="E100" i="1"/>
  <c r="D100" i="1"/>
  <c r="F99" i="1"/>
  <c r="E99" i="1"/>
  <c r="D99" i="1"/>
  <c r="F98" i="1"/>
  <c r="E98" i="1"/>
  <c r="D98" i="1"/>
  <c r="F97" i="1"/>
  <c r="E97" i="1"/>
  <c r="D97" i="1"/>
  <c r="F96" i="1"/>
  <c r="D96" i="1"/>
  <c r="F95" i="1"/>
  <c r="D95" i="1"/>
  <c r="F94" i="1"/>
  <c r="D94" i="1"/>
  <c r="F93" i="1"/>
  <c r="D93" i="1"/>
  <c r="F92" i="1"/>
  <c r="D92" i="1"/>
  <c r="F91" i="1"/>
  <c r="D91" i="1"/>
  <c r="F90" i="1"/>
  <c r="E90" i="1"/>
  <c r="D90" i="1"/>
  <c r="F89" i="1"/>
  <c r="E89" i="1"/>
  <c r="D89" i="1"/>
  <c r="F88" i="1"/>
  <c r="E88" i="1"/>
  <c r="D88" i="1"/>
  <c r="F87" i="1"/>
  <c r="E87" i="1"/>
  <c r="D87" i="1"/>
  <c r="F86" i="1"/>
  <c r="E86" i="1"/>
  <c r="D86" i="1"/>
  <c r="F85" i="1"/>
  <c r="E85" i="1"/>
  <c r="D85" i="1"/>
  <c r="F84" i="1"/>
  <c r="E84" i="1"/>
  <c r="D84" i="1"/>
  <c r="F83" i="1"/>
  <c r="E83" i="1"/>
  <c r="D83" i="1"/>
  <c r="F82" i="1"/>
  <c r="E82" i="1"/>
  <c r="D82" i="1"/>
  <c r="F81" i="1"/>
  <c r="E81" i="1"/>
  <c r="D81" i="1"/>
  <c r="F80" i="1"/>
  <c r="E80" i="1"/>
  <c r="D80" i="1"/>
  <c r="F79" i="1"/>
  <c r="E79" i="1"/>
  <c r="D79" i="1"/>
  <c r="F78" i="1"/>
  <c r="E78" i="1"/>
  <c r="D78" i="1"/>
  <c r="F77" i="1"/>
  <c r="E77" i="1"/>
  <c r="D77" i="1"/>
  <c r="F76" i="1"/>
  <c r="E76" i="1"/>
  <c r="D76" i="1"/>
  <c r="F75" i="1"/>
  <c r="E75" i="1"/>
  <c r="D75" i="1"/>
  <c r="F74" i="1"/>
  <c r="E74" i="1"/>
  <c r="F73" i="1"/>
  <c r="E73" i="1"/>
  <c r="D73" i="1"/>
  <c r="F72" i="1"/>
  <c r="E72" i="1"/>
  <c r="D72" i="1"/>
  <c r="F71" i="1"/>
  <c r="E71" i="1"/>
  <c r="D71" i="1"/>
  <c r="F70" i="1"/>
  <c r="D70" i="1"/>
  <c r="F69" i="1"/>
  <c r="D69" i="1"/>
  <c r="F68" i="1"/>
  <c r="D68" i="1"/>
  <c r="F67" i="1"/>
  <c r="D67" i="1"/>
  <c r="F66" i="1"/>
  <c r="E66" i="1"/>
  <c r="D66" i="1"/>
  <c r="F65" i="1"/>
  <c r="D65" i="1"/>
  <c r="F64" i="1"/>
  <c r="E64" i="1"/>
  <c r="D64" i="1"/>
  <c r="F63" i="1"/>
  <c r="E63" i="1"/>
  <c r="D63" i="1"/>
  <c r="F62" i="1"/>
  <c r="E62" i="1"/>
  <c r="D62" i="1"/>
  <c r="F61" i="1"/>
  <c r="E61" i="1"/>
  <c r="D61" i="1"/>
  <c r="F60" i="1"/>
  <c r="E60" i="1"/>
  <c r="D60" i="1"/>
  <c r="F59" i="1"/>
  <c r="E59" i="1"/>
  <c r="D59" i="1"/>
  <c r="F58" i="1"/>
  <c r="D58" i="1"/>
  <c r="F57" i="1"/>
  <c r="E57" i="1"/>
  <c r="D57" i="1"/>
  <c r="F56" i="1"/>
  <c r="E56" i="1"/>
  <c r="D56" i="1"/>
  <c r="F55" i="1"/>
  <c r="E55" i="1"/>
  <c r="D55" i="1"/>
  <c r="F54" i="1"/>
  <c r="E54" i="1"/>
  <c r="D54" i="1"/>
  <c r="F53" i="1"/>
  <c r="E53" i="1"/>
  <c r="D53" i="1"/>
  <c r="F52" i="1"/>
  <c r="D52" i="1"/>
  <c r="F51" i="1"/>
  <c r="D51" i="1"/>
  <c r="F50" i="1"/>
  <c r="D50" i="1"/>
  <c r="F49" i="1"/>
  <c r="E49" i="1"/>
  <c r="D49" i="1"/>
  <c r="F48" i="1"/>
  <c r="E48" i="1"/>
  <c r="D48" i="1"/>
  <c r="F47" i="1"/>
  <c r="E47" i="1"/>
  <c r="D47" i="1"/>
  <c r="F46" i="1"/>
  <c r="E46" i="1"/>
  <c r="D46" i="1"/>
  <c r="F45" i="1"/>
  <c r="E45" i="1"/>
  <c r="D45" i="1"/>
  <c r="F44" i="1"/>
  <c r="E44" i="1"/>
  <c r="D44" i="1"/>
  <c r="F43" i="1"/>
  <c r="E43" i="1"/>
  <c r="D43" i="1"/>
  <c r="F42" i="1"/>
  <c r="E42" i="1"/>
  <c r="D42" i="1"/>
  <c r="F41" i="1"/>
  <c r="E41" i="1"/>
  <c r="D41" i="1"/>
  <c r="F40" i="1"/>
  <c r="E40" i="1"/>
  <c r="D40" i="1"/>
  <c r="F39" i="1"/>
  <c r="E39" i="1"/>
  <c r="D39" i="1"/>
  <c r="F38" i="1"/>
  <c r="E38" i="1"/>
  <c r="D38" i="1"/>
  <c r="F37" i="1"/>
  <c r="E37" i="1"/>
  <c r="D37" i="1"/>
  <c r="F36" i="1"/>
  <c r="E36" i="1"/>
  <c r="D36" i="1"/>
  <c r="F35" i="1"/>
  <c r="D35" i="1"/>
  <c r="F34" i="1"/>
  <c r="D34" i="1"/>
  <c r="F33" i="1"/>
  <c r="D33" i="1"/>
  <c r="F32" i="1"/>
  <c r="D32" i="1"/>
  <c r="F31" i="1"/>
  <c r="E31" i="1"/>
  <c r="D31" i="1"/>
  <c r="F30" i="1"/>
  <c r="E30" i="1"/>
  <c r="D30" i="1"/>
  <c r="F29" i="1"/>
  <c r="E29" i="1"/>
  <c r="D29" i="1"/>
  <c r="F28" i="1"/>
  <c r="E28" i="1"/>
  <c r="D28" i="1"/>
  <c r="F27" i="1"/>
  <c r="E27" i="1"/>
  <c r="D27" i="1"/>
  <c r="F26" i="1"/>
  <c r="E26" i="1"/>
  <c r="D26" i="1"/>
  <c r="F25" i="1"/>
  <c r="D25" i="1"/>
  <c r="F24" i="1"/>
  <c r="E24" i="1"/>
  <c r="D24" i="1"/>
  <c r="F23" i="1"/>
  <c r="E23" i="1"/>
  <c r="D23" i="1"/>
  <c r="F22" i="1"/>
  <c r="E22" i="1"/>
  <c r="D22" i="1"/>
  <c r="F21" i="1"/>
  <c r="E21" i="1"/>
  <c r="D21" i="1"/>
  <c r="F20" i="1"/>
  <c r="E20" i="1"/>
  <c r="D20" i="1"/>
  <c r="F19" i="1"/>
  <c r="D19" i="1"/>
  <c r="F18" i="1"/>
  <c r="D18" i="1"/>
  <c r="F17" i="1"/>
  <c r="D17" i="1"/>
  <c r="F16" i="1"/>
  <c r="D16" i="1"/>
  <c r="F15" i="1"/>
  <c r="D15" i="1"/>
  <c r="F14" i="1"/>
  <c r="D14" i="1"/>
  <c r="F13" i="1"/>
  <c r="D13" i="1"/>
  <c r="F12" i="1"/>
  <c r="E12" i="1"/>
  <c r="D12" i="1"/>
  <c r="F11" i="1"/>
  <c r="E11" i="1"/>
  <c r="D11" i="1"/>
  <c r="F10" i="1"/>
  <c r="E10" i="1"/>
  <c r="D10" i="1"/>
  <c r="F9" i="1"/>
  <c r="E9" i="1"/>
  <c r="D9" i="1"/>
</calcChain>
</file>

<file path=xl/sharedStrings.xml><?xml version="1.0" encoding="utf-8"?>
<sst xmlns="http://schemas.openxmlformats.org/spreadsheetml/2006/main" count="368" uniqueCount="143">
  <si>
    <t>Наименование показателя</t>
  </si>
  <si>
    <t>Код строки</t>
  </si>
  <si>
    <t>Утвержденные бюджетные назначения</t>
  </si>
  <si>
    <t>Исполнено</t>
  </si>
  <si>
    <t>Неисполненные назначения</t>
  </si>
  <si>
    <t>1</t>
  </si>
  <si>
    <t>2</t>
  </si>
  <si>
    <t>3</t>
  </si>
  <si>
    <t>4</t>
  </si>
  <si>
    <t>5</t>
  </si>
  <si>
    <t>6</t>
  </si>
  <si>
    <t>х</t>
  </si>
  <si>
    <t>-</t>
  </si>
  <si>
    <t>2. Расходы бюджета</t>
  </si>
  <si>
    <t>Код расхода по бюджетной классификации</t>
  </si>
  <si>
    <t>Расходы бюджета всего, в т.ч.</t>
  </si>
  <si>
    <t>200</t>
  </si>
  <si>
    <t>Работы, услуги по содержанию имущества</t>
  </si>
  <si>
    <t>Безвозмездные перечисления организациям, за исключением государственных и муниципальных организаций</t>
  </si>
  <si>
    <t>Коммунальные услуги</t>
  </si>
  <si>
    <t>Прочие работы, услуги</t>
  </si>
  <si>
    <t>Увеличение стоимости основных средств</t>
  </si>
  <si>
    <t>Прочие расходы</t>
  </si>
  <si>
    <t>Увеличение стоимости материальных запасов</t>
  </si>
  <si>
    <t>Заработная плата</t>
  </si>
  <si>
    <t>Начисления на выплаты по оплате труда</t>
  </si>
  <si>
    <t>Прочие выплаты</t>
  </si>
  <si>
    <t>Услуги связи</t>
  </si>
  <si>
    <t>Транспортные услуги</t>
  </si>
  <si>
    <t>Арендная плата за пользование имуществом</t>
  </si>
  <si>
    <t>Безвозмездные перечисления государственным и муниципальным организациям</t>
  </si>
  <si>
    <t>Пенсии, пособия, выплачиваемые организациями сектора государственного управления</t>
  </si>
  <si>
    <t>Перечисления другим бюджетам бюджетной системы Российской Федерации</t>
  </si>
  <si>
    <t>Результат исполнения бюджета (дефицит\ профицит)</t>
  </si>
  <si>
    <t>450</t>
  </si>
  <si>
    <t>482 0408 5030408 810 241</t>
  </si>
  <si>
    <t>482 0409 0300795 244 223</t>
  </si>
  <si>
    <t>482 0409 0300795 244 225</t>
  </si>
  <si>
    <t>482 0501 0500795 244 225</t>
  </si>
  <si>
    <t>482 0502 5030502 810 242</t>
  </si>
  <si>
    <t>482 0503 0700795 244 225</t>
  </si>
  <si>
    <t>482 0503 0700795 244 226</t>
  </si>
  <si>
    <t>482 0503 0700795 360 290</t>
  </si>
  <si>
    <t>482 0503 1400795 244 225</t>
  </si>
  <si>
    <t>482 0505 1100795 242 226</t>
  </si>
  <si>
    <t>482 0505 5020060 111 211</t>
  </si>
  <si>
    <t>482 0505 5020060 111 213</t>
  </si>
  <si>
    <t>482 0505 5020060 112 212</t>
  </si>
  <si>
    <t>482 0505 5020060 242 221</t>
  </si>
  <si>
    <t>482 0505 5020060 244 221</t>
  </si>
  <si>
    <t>482 0505 5020060 244 222</t>
  </si>
  <si>
    <t>482 0505 5020060 244 223</t>
  </si>
  <si>
    <t>482 0505 5020060 244 224</t>
  </si>
  <si>
    <t>482 0505 5020060 244 225</t>
  </si>
  <si>
    <t>482 0505 5020060 244 226</t>
  </si>
  <si>
    <t>482 0505 5020060 244 310</t>
  </si>
  <si>
    <t>482 0505 5020060 244 340</t>
  </si>
  <si>
    <t>482 0505 5020060 852 290</t>
  </si>
  <si>
    <t>650 0102 5010203 121 211</t>
  </si>
  <si>
    <t>650 0102 5010203 121 213</t>
  </si>
  <si>
    <t>650 0104 5010204 121 211</t>
  </si>
  <si>
    <t>650 0104 5010204 121 213</t>
  </si>
  <si>
    <t>650 0104 5010240 122 212</t>
  </si>
  <si>
    <t>650 0104 5010240 122 222</t>
  </si>
  <si>
    <t>650 0104 5010240 122 226</t>
  </si>
  <si>
    <t>650 0104 5010240 852 290</t>
  </si>
  <si>
    <t>650 0111 5000704 870 290</t>
  </si>
  <si>
    <t>650 0113 0800795 244 226</t>
  </si>
  <si>
    <t>650 0113 1000795 244 226</t>
  </si>
  <si>
    <t>650 0113 5030920 360 290</t>
  </si>
  <si>
    <t>650 0113 5030925 122 212</t>
  </si>
  <si>
    <t>650 0113 5030930 244 223</t>
  </si>
  <si>
    <t>650 0113 5030930 244 225</t>
  </si>
  <si>
    <t>650 0113 5030930 244 226</t>
  </si>
  <si>
    <t>650 0113 5030930 244 290</t>
  </si>
  <si>
    <t>650 0113 5030930 852 290</t>
  </si>
  <si>
    <t>650 0203 5005118 121 211</t>
  </si>
  <si>
    <t>650 0203 5005118 121 213</t>
  </si>
  <si>
    <t>650 0309 0400795 244 225</t>
  </si>
  <si>
    <t>650 0309 0400795 244 340</t>
  </si>
  <si>
    <t>650 0410 1100795 242 221</t>
  </si>
  <si>
    <t>650 0410 1100795 242 226</t>
  </si>
  <si>
    <t>650 0410 1100795 242 310</t>
  </si>
  <si>
    <t>650 0410 1100795 242 340</t>
  </si>
  <si>
    <t>650 1001 5030491 321 263</t>
  </si>
  <si>
    <t>650 1006 5031006 630 242</t>
  </si>
  <si>
    <t>650 1403 5030521 540 251</t>
  </si>
  <si>
    <t>Единица измерения: руб.</t>
  </si>
  <si>
    <t>650 0203 5005118 122 212</t>
  </si>
  <si>
    <t>650 0203 5005118 242 310</t>
  </si>
  <si>
    <t>650 0203 5005118 244 340</t>
  </si>
  <si>
    <t>482 0409 0300795 244 226</t>
  </si>
  <si>
    <t>482 0501 5030035 810 241</t>
  </si>
  <si>
    <t>650 0113 5010250 122 212</t>
  </si>
  <si>
    <t xml:space="preserve">Приложение №2                                                                  к постановлению Администрации городского поселения Пойковский </t>
  </si>
  <si>
    <t>482 0409 1502006 244 225</t>
  </si>
  <si>
    <t>482 0409 1502006 244 226</t>
  </si>
  <si>
    <t>482 0409 1502006 244 310</t>
  </si>
  <si>
    <t>482 0409 1505419 244 226</t>
  </si>
  <si>
    <t>482 0409 1505419 244 310</t>
  </si>
  <si>
    <t>482 0501 5030035 244 226</t>
  </si>
  <si>
    <t>482 0503 0700795 244 222</t>
  </si>
  <si>
    <t>482 0503 0700795 244 310</t>
  </si>
  <si>
    <t>482 0503 0700795 244 340</t>
  </si>
  <si>
    <t>482 0505 5020060 851 290</t>
  </si>
  <si>
    <t>482 0707 0600795 111 211</t>
  </si>
  <si>
    <t>482 0707 0600795 111 213</t>
  </si>
  <si>
    <t>482 0707 0600795 244 222</t>
  </si>
  <si>
    <t>482 0707 0600795 244 226</t>
  </si>
  <si>
    <t>482 0707 0600795 244 290</t>
  </si>
  <si>
    <t>482 0707 0600795 244 310</t>
  </si>
  <si>
    <t>482 0707 0600795 244 340</t>
  </si>
  <si>
    <t>650 0113 5000991 121 211</t>
  </si>
  <si>
    <t>650 0113 5000991 121 213</t>
  </si>
  <si>
    <t>650 0113 5000991 244 221</t>
  </si>
  <si>
    <t>650 0113 5000991 244 223</t>
  </si>
  <si>
    <t>650 0113 5000991 244 226</t>
  </si>
  <si>
    <t>650 0113 5000991 852 290</t>
  </si>
  <si>
    <t>650 0203 5005118 242 221</t>
  </si>
  <si>
    <t>650 0203 5005118 242 340</t>
  </si>
  <si>
    <t>650 0203 5005118 244 226</t>
  </si>
  <si>
    <t>650 0203 5005118 244 310</t>
  </si>
  <si>
    <t>650 0309 0400795 244 222</t>
  </si>
  <si>
    <t>650 0309 0400795 244 310</t>
  </si>
  <si>
    <t>650 0501 0820272 412 310</t>
  </si>
  <si>
    <t>650 0501 0922133 244 225</t>
  </si>
  <si>
    <t>650 0501 5030035 244 223</t>
  </si>
  <si>
    <t>650 0501 5030035 244 225</t>
  </si>
  <si>
    <t>650 0501 5030501 412 310</t>
  </si>
  <si>
    <t>482 0409 1505419 244 225</t>
  </si>
  <si>
    <t>482 0501 0500795 244 226</t>
  </si>
  <si>
    <t>482 0503 0700795 244 224</t>
  </si>
  <si>
    <t>482 0503 0700795 244 290</t>
  </si>
  <si>
    <t>482 0503 0702121 244 225</t>
  </si>
  <si>
    <t>482 0503 0704006 244 225</t>
  </si>
  <si>
    <t>482 0707 0125615 111 211</t>
  </si>
  <si>
    <t>482 0707 0125615 111 213</t>
  </si>
  <si>
    <t>650 0113 0202115 244 225</t>
  </si>
  <si>
    <t>650 0113 0202115 244 226</t>
  </si>
  <si>
    <t>650 0113 5030930 831 290</t>
  </si>
  <si>
    <t>650 0501 0825404 412 310</t>
  </si>
  <si>
    <t>Отчет об исполнении расходов бюджета муниципального образования городское поселение Пойковский за 2 квартал 2015 года</t>
  </si>
  <si>
    <t>от 15.07.2015 № 403-п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</si>
</sst>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indexed="64"/>
      <name val="Arial"/>
      <charset val="1"/>
    </font>
    <font>
      <sz val="10"/>
      <color indexed="64"/>
      <name val="Arial"/>
      <family val="2"/>
      <charset val="204"/>
    </font>
    <font>
      <b/>
      <sz val="10"/>
      <color indexed="64"/>
      <name val="Arial"/>
      <family val="2"/>
      <charset val="204"/>
    </font>
    <font>
      <sz val="10"/>
      <color indexed="8"/>
      <name val="Tahoma"/>
      <family val="2"/>
      <charset val="204"/>
    </font>
    <font>
      <b/>
      <sz val="8"/>
      <color indexed="8"/>
      <name val="Tahoma"/>
      <charset val="1"/>
    </font>
    <font>
      <sz val="8"/>
      <color indexed="8"/>
      <name val="Tahoma"/>
      <charset val="1"/>
    </font>
    <font>
      <sz val="7"/>
      <color indexed="8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NumberFormat="1" applyFont="1"/>
    <xf numFmtId="0" fontId="1" fillId="0" borderId="0" xfId="0" applyNumberFormat="1" applyFont="1" applyBorder="1"/>
    <xf numFmtId="0" fontId="1" fillId="0" borderId="0" xfId="0" applyNumberFormat="1" applyFont="1" applyAlignment="1">
      <alignment wrapText="1"/>
    </xf>
    <xf numFmtId="0" fontId="1" fillId="0" borderId="0" xfId="0" applyFont="1" applyAlignment="1">
      <alignment vertical="top"/>
    </xf>
    <xf numFmtId="0" fontId="0" fillId="0" borderId="0" xfId="0" applyNumberFormat="1"/>
    <xf numFmtId="0" fontId="5" fillId="2" borderId="1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left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right" vertical="center" wrapText="1"/>
    </xf>
    <xf numFmtId="4" fontId="5" fillId="2" borderId="6" xfId="0" applyNumberFormat="1" applyFont="1" applyFill="1" applyBorder="1" applyAlignment="1">
      <alignment horizontal="right" vertical="center" wrapText="1"/>
    </xf>
    <xf numFmtId="0" fontId="5" fillId="2" borderId="7" xfId="0" applyNumberFormat="1" applyFont="1" applyFill="1" applyBorder="1" applyAlignment="1">
      <alignment horizontal="left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right" vertical="center" wrapText="1"/>
    </xf>
    <xf numFmtId="4" fontId="5" fillId="2" borderId="9" xfId="0" applyNumberFormat="1" applyFont="1" applyFill="1" applyBorder="1" applyAlignment="1">
      <alignment horizontal="right" vertical="center" wrapText="1"/>
    </xf>
    <xf numFmtId="0" fontId="5" fillId="2" borderId="8" xfId="0" applyNumberFormat="1" applyFont="1" applyFill="1" applyBorder="1" applyAlignment="1">
      <alignment horizontal="right" vertical="center" wrapText="1"/>
    </xf>
    <xf numFmtId="0" fontId="5" fillId="2" borderId="10" xfId="0" applyNumberFormat="1" applyFont="1" applyFill="1" applyBorder="1" applyAlignment="1">
      <alignment horizontal="left" vertical="center" wrapText="1"/>
    </xf>
    <xf numFmtId="0" fontId="5" fillId="2" borderId="10" xfId="0" applyNumberFormat="1" applyFont="1" applyFill="1" applyBorder="1" applyAlignment="1">
      <alignment horizontal="center" vertical="center" wrapText="1"/>
    </xf>
    <xf numFmtId="4" fontId="5" fillId="2" borderId="11" xfId="0" applyNumberFormat="1" applyFont="1" applyFill="1" applyBorder="1" applyAlignment="1">
      <alignment horizontal="right" vertical="center" wrapText="1"/>
    </xf>
    <xf numFmtId="0" fontId="5" fillId="2" borderId="12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/>
    <xf numFmtId="0" fontId="1" fillId="0" borderId="0" xfId="0" applyFont="1" applyFill="1" applyAlignment="1">
      <alignment horizontal="center" wrapText="1"/>
    </xf>
    <xf numFmtId="0" fontId="1" fillId="0" borderId="0" xfId="0" applyNumberFormat="1" applyFont="1" applyFill="1" applyAlignment="1">
      <alignment vertical="top"/>
    </xf>
    <xf numFmtId="0" fontId="3" fillId="0" borderId="0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/>
    <xf numFmtId="0" fontId="1" fillId="0" borderId="0" xfId="0" applyFont="1" applyFill="1" applyAlignment="1">
      <alignment horizontal="left" vertical="top" wrapText="1"/>
    </xf>
    <xf numFmtId="0" fontId="1" fillId="0" borderId="0" xfId="0" applyNumberFormat="1" applyFont="1" applyFill="1" applyAlignment="1">
      <alignment horizontal="left" vertical="top"/>
    </xf>
    <xf numFmtId="0" fontId="4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14"/>
  <sheetViews>
    <sheetView tabSelected="1" zoomScaleNormal="100" workbookViewId="0">
      <selection activeCell="D2" sqref="D2:F2"/>
    </sheetView>
  </sheetViews>
  <sheetFormatPr defaultRowHeight="12.75" x14ac:dyDescent="0.2"/>
  <cols>
    <col min="1" max="1" width="61.28515625" style="4" bestFit="1" customWidth="1"/>
    <col min="2" max="2" width="9.28515625" style="5" bestFit="1" customWidth="1"/>
    <col min="3" max="3" width="20.140625" style="1" bestFit="1" customWidth="1"/>
    <col min="4" max="6" width="11.85546875" style="1" bestFit="1" customWidth="1"/>
    <col min="7" max="16384" width="9.140625" style="1"/>
  </cols>
  <sheetData>
    <row r="1" spans="1:6" s="2" customFormat="1" ht="39" customHeight="1" x14ac:dyDescent="0.2">
      <c r="A1" s="26"/>
      <c r="B1" s="26"/>
      <c r="C1" s="26"/>
      <c r="D1" s="32" t="s">
        <v>94</v>
      </c>
      <c r="E1" s="32"/>
      <c r="F1" s="32"/>
    </row>
    <row r="2" spans="1:6" s="2" customFormat="1" ht="14.1" customHeight="1" x14ac:dyDescent="0.2">
      <c r="A2" s="26"/>
      <c r="B2" s="26"/>
      <c r="C2" s="26"/>
      <c r="D2" s="33" t="s">
        <v>142</v>
      </c>
      <c r="E2" s="33"/>
      <c r="F2" s="33"/>
    </row>
    <row r="3" spans="1:6" s="2" customFormat="1" ht="36.75" customHeight="1" x14ac:dyDescent="0.2">
      <c r="A3" s="35" t="s">
        <v>141</v>
      </c>
      <c r="B3" s="35"/>
      <c r="C3" s="35"/>
      <c r="D3" s="35"/>
      <c r="E3" s="35"/>
      <c r="F3" s="35"/>
    </row>
    <row r="4" spans="1:6" s="2" customFormat="1" x14ac:dyDescent="0.2">
      <c r="A4" s="27"/>
      <c r="B4" s="28"/>
      <c r="C4" s="26"/>
      <c r="D4" s="26"/>
      <c r="E4" s="26"/>
      <c r="F4" s="26"/>
    </row>
    <row r="5" spans="1:6" s="3" customFormat="1" ht="14.1" customHeight="1" x14ac:dyDescent="0.2">
      <c r="A5" s="29" t="s">
        <v>87</v>
      </c>
      <c r="B5" s="30"/>
      <c r="C5" s="31"/>
      <c r="D5" s="31"/>
      <c r="E5" s="31"/>
      <c r="F5" s="31"/>
    </row>
    <row r="6" spans="1:6" s="6" customFormat="1" ht="14.1" customHeight="1" thickBot="1" x14ac:dyDescent="0.25">
      <c r="A6" s="34" t="s">
        <v>13</v>
      </c>
      <c r="B6" s="34"/>
      <c r="C6" s="34"/>
      <c r="D6" s="34"/>
      <c r="E6" s="34"/>
      <c r="F6" s="34"/>
    </row>
    <row r="7" spans="1:6" s="6" customFormat="1" ht="35.1" customHeight="1" x14ac:dyDescent="0.2">
      <c r="A7" s="7" t="s">
        <v>0</v>
      </c>
      <c r="B7" s="7" t="s">
        <v>1</v>
      </c>
      <c r="C7" s="7" t="s">
        <v>14</v>
      </c>
      <c r="D7" s="9" t="s">
        <v>2</v>
      </c>
      <c r="E7" s="9" t="s">
        <v>3</v>
      </c>
      <c r="F7" s="11" t="s">
        <v>4</v>
      </c>
    </row>
    <row r="8" spans="1:6" s="6" customFormat="1" ht="14.1" customHeight="1" thickBot="1" x14ac:dyDescent="0.25">
      <c r="A8" s="8" t="s">
        <v>5</v>
      </c>
      <c r="B8" s="8" t="s">
        <v>6</v>
      </c>
      <c r="C8" s="8" t="s">
        <v>7</v>
      </c>
      <c r="D8" s="10" t="s">
        <v>8</v>
      </c>
      <c r="E8" s="10" t="s">
        <v>9</v>
      </c>
      <c r="F8" s="12" t="s">
        <v>10</v>
      </c>
    </row>
    <row r="9" spans="1:6" s="6" customFormat="1" ht="14.1" customHeight="1" thickBot="1" x14ac:dyDescent="0.25">
      <c r="A9" s="13" t="s">
        <v>15</v>
      </c>
      <c r="B9" s="14" t="s">
        <v>16</v>
      </c>
      <c r="C9" s="14" t="s">
        <v>11</v>
      </c>
      <c r="D9" s="15">
        <f>318281326.06</f>
        <v>318281326.06</v>
      </c>
      <c r="E9" s="15">
        <f>144869696.91</f>
        <v>144869696.91</v>
      </c>
      <c r="F9" s="16">
        <f>173411629.15</f>
        <v>173411629.15000001</v>
      </c>
    </row>
    <row r="10" spans="1:6" s="6" customFormat="1" ht="14.1" customHeight="1" x14ac:dyDescent="0.2">
      <c r="A10" s="17" t="s">
        <v>30</v>
      </c>
      <c r="B10" s="18" t="s">
        <v>16</v>
      </c>
      <c r="C10" s="18" t="s">
        <v>35</v>
      </c>
      <c r="D10" s="19">
        <f>25447000</f>
        <v>25447000</v>
      </c>
      <c r="E10" s="19">
        <f>19208000</f>
        <v>19208000</v>
      </c>
      <c r="F10" s="20">
        <f>6239000</f>
        <v>6239000</v>
      </c>
    </row>
    <row r="11" spans="1:6" s="6" customFormat="1" ht="14.1" customHeight="1" x14ac:dyDescent="0.2">
      <c r="A11" s="17" t="s">
        <v>19</v>
      </c>
      <c r="B11" s="18" t="s">
        <v>16</v>
      </c>
      <c r="C11" s="18" t="s">
        <v>36</v>
      </c>
      <c r="D11" s="19">
        <f>5903564.66</f>
        <v>5903564.6600000001</v>
      </c>
      <c r="E11" s="19">
        <f>3185855.88</f>
        <v>3185855.88</v>
      </c>
      <c r="F11" s="20">
        <f>2717708.78</f>
        <v>2717708.78</v>
      </c>
    </row>
    <row r="12" spans="1:6" s="6" customFormat="1" ht="14.1" customHeight="1" x14ac:dyDescent="0.2">
      <c r="A12" s="17" t="s">
        <v>17</v>
      </c>
      <c r="B12" s="18" t="s">
        <v>16</v>
      </c>
      <c r="C12" s="18" t="s">
        <v>37</v>
      </c>
      <c r="D12" s="19">
        <f>33396069.5</f>
        <v>33396069.5</v>
      </c>
      <c r="E12" s="19">
        <f>15507596.57</f>
        <v>15507596.57</v>
      </c>
      <c r="F12" s="20">
        <f>17888472.93</f>
        <v>17888472.93</v>
      </c>
    </row>
    <row r="13" spans="1:6" s="6" customFormat="1" ht="14.1" customHeight="1" x14ac:dyDescent="0.2">
      <c r="A13" s="17" t="s">
        <v>20</v>
      </c>
      <c r="B13" s="18" t="s">
        <v>16</v>
      </c>
      <c r="C13" s="18" t="s">
        <v>91</v>
      </c>
      <c r="D13" s="19">
        <f>29000</f>
        <v>29000</v>
      </c>
      <c r="E13" s="21" t="s">
        <v>12</v>
      </c>
      <c r="F13" s="20">
        <f>29000</f>
        <v>29000</v>
      </c>
    </row>
    <row r="14" spans="1:6" s="6" customFormat="1" ht="14.1" customHeight="1" x14ac:dyDescent="0.2">
      <c r="A14" s="17" t="s">
        <v>17</v>
      </c>
      <c r="B14" s="18" t="s">
        <v>16</v>
      </c>
      <c r="C14" s="18" t="s">
        <v>95</v>
      </c>
      <c r="D14" s="19">
        <f>4311000</f>
        <v>4311000</v>
      </c>
      <c r="E14" s="21" t="s">
        <v>12</v>
      </c>
      <c r="F14" s="20">
        <f>4311000</f>
        <v>4311000</v>
      </c>
    </row>
    <row r="15" spans="1:6" s="6" customFormat="1" ht="14.1" customHeight="1" x14ac:dyDescent="0.2">
      <c r="A15" s="17" t="s">
        <v>20</v>
      </c>
      <c r="B15" s="18" t="s">
        <v>16</v>
      </c>
      <c r="C15" s="18" t="s">
        <v>96</v>
      </c>
      <c r="D15" s="19">
        <f>0</f>
        <v>0</v>
      </c>
      <c r="E15" s="21" t="s">
        <v>12</v>
      </c>
      <c r="F15" s="20">
        <f>0</f>
        <v>0</v>
      </c>
    </row>
    <row r="16" spans="1:6" s="6" customFormat="1" ht="14.1" customHeight="1" x14ac:dyDescent="0.2">
      <c r="A16" s="17" t="s">
        <v>21</v>
      </c>
      <c r="B16" s="18" t="s">
        <v>16</v>
      </c>
      <c r="C16" s="18" t="s">
        <v>97</v>
      </c>
      <c r="D16" s="19">
        <f>0</f>
        <v>0</v>
      </c>
      <c r="E16" s="21" t="s">
        <v>12</v>
      </c>
      <c r="F16" s="20">
        <f>0</f>
        <v>0</v>
      </c>
    </row>
    <row r="17" spans="1:6" s="6" customFormat="1" ht="14.1" customHeight="1" x14ac:dyDescent="0.2">
      <c r="A17" s="17" t="s">
        <v>17</v>
      </c>
      <c r="B17" s="18" t="s">
        <v>16</v>
      </c>
      <c r="C17" s="18" t="s">
        <v>129</v>
      </c>
      <c r="D17" s="19">
        <f>0</f>
        <v>0</v>
      </c>
      <c r="E17" s="21" t="s">
        <v>12</v>
      </c>
      <c r="F17" s="20">
        <f>0</f>
        <v>0</v>
      </c>
    </row>
    <row r="18" spans="1:6" s="6" customFormat="1" ht="14.1" customHeight="1" x14ac:dyDescent="0.2">
      <c r="A18" s="17" t="s">
        <v>20</v>
      </c>
      <c r="B18" s="18" t="s">
        <v>16</v>
      </c>
      <c r="C18" s="18" t="s">
        <v>98</v>
      </c>
      <c r="D18" s="19">
        <f>0</f>
        <v>0</v>
      </c>
      <c r="E18" s="21" t="s">
        <v>12</v>
      </c>
      <c r="F18" s="20">
        <f>0</f>
        <v>0</v>
      </c>
    </row>
    <row r="19" spans="1:6" s="6" customFormat="1" ht="14.1" customHeight="1" x14ac:dyDescent="0.2">
      <c r="A19" s="17" t="s">
        <v>21</v>
      </c>
      <c r="B19" s="18" t="s">
        <v>16</v>
      </c>
      <c r="C19" s="18" t="s">
        <v>99</v>
      </c>
      <c r="D19" s="19">
        <f>0</f>
        <v>0</v>
      </c>
      <c r="E19" s="21" t="s">
        <v>12</v>
      </c>
      <c r="F19" s="20">
        <f>0</f>
        <v>0</v>
      </c>
    </row>
    <row r="20" spans="1:6" s="6" customFormat="1" ht="14.1" customHeight="1" x14ac:dyDescent="0.2">
      <c r="A20" s="17" t="s">
        <v>17</v>
      </c>
      <c r="B20" s="18" t="s">
        <v>16</v>
      </c>
      <c r="C20" s="18" t="s">
        <v>38</v>
      </c>
      <c r="D20" s="19">
        <f>809010.59</f>
        <v>809010.59</v>
      </c>
      <c r="E20" s="19">
        <f>691839.97</f>
        <v>691839.97</v>
      </c>
      <c r="F20" s="20">
        <f>117170.62</f>
        <v>117170.62</v>
      </c>
    </row>
    <row r="21" spans="1:6" s="6" customFormat="1" ht="14.1" customHeight="1" x14ac:dyDescent="0.2">
      <c r="A21" s="17" t="s">
        <v>20</v>
      </c>
      <c r="B21" s="18" t="s">
        <v>16</v>
      </c>
      <c r="C21" s="18" t="s">
        <v>130</v>
      </c>
      <c r="D21" s="19">
        <f>94500</f>
        <v>94500</v>
      </c>
      <c r="E21" s="19">
        <f>94491.04</f>
        <v>94491.04</v>
      </c>
      <c r="F21" s="20">
        <f>8.96</f>
        <v>8.9600000000000009</v>
      </c>
    </row>
    <row r="22" spans="1:6" s="6" customFormat="1" ht="14.1" customHeight="1" x14ac:dyDescent="0.2">
      <c r="A22" s="17" t="s">
        <v>20</v>
      </c>
      <c r="B22" s="18" t="s">
        <v>16</v>
      </c>
      <c r="C22" s="18" t="s">
        <v>100</v>
      </c>
      <c r="D22" s="19">
        <f>760000</f>
        <v>760000</v>
      </c>
      <c r="E22" s="19">
        <f>187500.39</f>
        <v>187500.39</v>
      </c>
      <c r="F22" s="20">
        <f>572499.61</f>
        <v>572499.61</v>
      </c>
    </row>
    <row r="23" spans="1:6" s="6" customFormat="1" ht="14.1" customHeight="1" x14ac:dyDescent="0.2">
      <c r="A23" s="17" t="s">
        <v>30</v>
      </c>
      <c r="B23" s="18" t="s">
        <v>16</v>
      </c>
      <c r="C23" s="18" t="s">
        <v>92</v>
      </c>
      <c r="D23" s="19">
        <f>10000</f>
        <v>10000</v>
      </c>
      <c r="E23" s="19">
        <f>2608.21</f>
        <v>2608.21</v>
      </c>
      <c r="F23" s="20">
        <f>7391.79</f>
        <v>7391.79</v>
      </c>
    </row>
    <row r="24" spans="1:6" s="6" customFormat="1" ht="24" customHeight="1" x14ac:dyDescent="0.2">
      <c r="A24" s="17" t="s">
        <v>18</v>
      </c>
      <c r="B24" s="18" t="s">
        <v>16</v>
      </c>
      <c r="C24" s="18" t="s">
        <v>39</v>
      </c>
      <c r="D24" s="19">
        <f>2653330</f>
        <v>2653330</v>
      </c>
      <c r="E24" s="19">
        <f>2404206</f>
        <v>2404206</v>
      </c>
      <c r="F24" s="20">
        <f>249124</f>
        <v>249124</v>
      </c>
    </row>
    <row r="25" spans="1:6" s="6" customFormat="1" ht="14.1" customHeight="1" x14ac:dyDescent="0.2">
      <c r="A25" s="17" t="s">
        <v>28</v>
      </c>
      <c r="B25" s="18" t="s">
        <v>16</v>
      </c>
      <c r="C25" s="18" t="s">
        <v>101</v>
      </c>
      <c r="D25" s="19">
        <f>100000</f>
        <v>100000</v>
      </c>
      <c r="E25" s="21" t="s">
        <v>12</v>
      </c>
      <c r="F25" s="20">
        <f>100000</f>
        <v>100000</v>
      </c>
    </row>
    <row r="26" spans="1:6" s="6" customFormat="1" ht="14.1" customHeight="1" x14ac:dyDescent="0.2">
      <c r="A26" s="17" t="s">
        <v>29</v>
      </c>
      <c r="B26" s="18" t="s">
        <v>16</v>
      </c>
      <c r="C26" s="18" t="s">
        <v>131</v>
      </c>
      <c r="D26" s="19">
        <f>79000</f>
        <v>79000</v>
      </c>
      <c r="E26" s="19">
        <f>79000</f>
        <v>79000</v>
      </c>
      <c r="F26" s="20">
        <f>0</f>
        <v>0</v>
      </c>
    </row>
    <row r="27" spans="1:6" s="6" customFormat="1" ht="14.1" customHeight="1" x14ac:dyDescent="0.2">
      <c r="A27" s="17" t="s">
        <v>17</v>
      </c>
      <c r="B27" s="18" t="s">
        <v>16</v>
      </c>
      <c r="C27" s="18" t="s">
        <v>40</v>
      </c>
      <c r="D27" s="19">
        <f>9200600</f>
        <v>9200600</v>
      </c>
      <c r="E27" s="19">
        <f>1363721.7</f>
        <v>1363721.7</v>
      </c>
      <c r="F27" s="20">
        <f>7836878.3</f>
        <v>7836878.2999999998</v>
      </c>
    </row>
    <row r="28" spans="1:6" s="6" customFormat="1" ht="14.1" customHeight="1" x14ac:dyDescent="0.2">
      <c r="A28" s="17" t="s">
        <v>20</v>
      </c>
      <c r="B28" s="18" t="s">
        <v>16</v>
      </c>
      <c r="C28" s="18" t="s">
        <v>41</v>
      </c>
      <c r="D28" s="19">
        <f>5088400</f>
        <v>5088400</v>
      </c>
      <c r="E28" s="19">
        <f>1299813.12</f>
        <v>1299813.1200000001</v>
      </c>
      <c r="F28" s="20">
        <f>3788586.88</f>
        <v>3788586.88</v>
      </c>
    </row>
    <row r="29" spans="1:6" s="6" customFormat="1" ht="14.1" customHeight="1" x14ac:dyDescent="0.2">
      <c r="A29" s="17" t="s">
        <v>22</v>
      </c>
      <c r="B29" s="18" t="s">
        <v>16</v>
      </c>
      <c r="C29" s="18" t="s">
        <v>132</v>
      </c>
      <c r="D29" s="19">
        <f>200000</f>
        <v>200000</v>
      </c>
      <c r="E29" s="19">
        <f>198200</f>
        <v>198200</v>
      </c>
      <c r="F29" s="20">
        <f>1800</f>
        <v>1800</v>
      </c>
    </row>
    <row r="30" spans="1:6" s="6" customFormat="1" ht="14.1" customHeight="1" x14ac:dyDescent="0.2">
      <c r="A30" s="17" t="s">
        <v>21</v>
      </c>
      <c r="B30" s="18" t="s">
        <v>16</v>
      </c>
      <c r="C30" s="18" t="s">
        <v>102</v>
      </c>
      <c r="D30" s="19">
        <f>905000</f>
        <v>905000</v>
      </c>
      <c r="E30" s="19">
        <f>380253.03</f>
        <v>380253.03</v>
      </c>
      <c r="F30" s="20">
        <f>524746.97</f>
        <v>524746.97</v>
      </c>
    </row>
    <row r="31" spans="1:6" s="6" customFormat="1" ht="14.1" customHeight="1" x14ac:dyDescent="0.2">
      <c r="A31" s="17" t="s">
        <v>23</v>
      </c>
      <c r="B31" s="18" t="s">
        <v>16</v>
      </c>
      <c r="C31" s="18" t="s">
        <v>103</v>
      </c>
      <c r="D31" s="19">
        <f>269665.34</f>
        <v>269665.34000000003</v>
      </c>
      <c r="E31" s="19">
        <f>168260</f>
        <v>168260</v>
      </c>
      <c r="F31" s="20">
        <f>101405.34</f>
        <v>101405.34</v>
      </c>
    </row>
    <row r="32" spans="1:6" s="6" customFormat="1" ht="14.1" customHeight="1" x14ac:dyDescent="0.2">
      <c r="A32" s="17" t="s">
        <v>22</v>
      </c>
      <c r="B32" s="18" t="s">
        <v>16</v>
      </c>
      <c r="C32" s="18" t="s">
        <v>42</v>
      </c>
      <c r="D32" s="19">
        <f>60000</f>
        <v>60000</v>
      </c>
      <c r="E32" s="21" t="s">
        <v>12</v>
      </c>
      <c r="F32" s="20">
        <f>60000</f>
        <v>60000</v>
      </c>
    </row>
    <row r="33" spans="1:6" s="6" customFormat="1" ht="14.1" customHeight="1" x14ac:dyDescent="0.2">
      <c r="A33" s="17" t="s">
        <v>17</v>
      </c>
      <c r="B33" s="18" t="s">
        <v>16</v>
      </c>
      <c r="C33" s="18" t="s">
        <v>133</v>
      </c>
      <c r="D33" s="19">
        <f>600000</f>
        <v>600000</v>
      </c>
      <c r="E33" s="21" t="s">
        <v>12</v>
      </c>
      <c r="F33" s="20">
        <f>600000</f>
        <v>600000</v>
      </c>
    </row>
    <row r="34" spans="1:6" s="6" customFormat="1" ht="14.1" customHeight="1" x14ac:dyDescent="0.2">
      <c r="A34" s="17" t="s">
        <v>17</v>
      </c>
      <c r="B34" s="18" t="s">
        <v>16</v>
      </c>
      <c r="C34" s="18" t="s">
        <v>134</v>
      </c>
      <c r="D34" s="19">
        <f>2900000</f>
        <v>2900000</v>
      </c>
      <c r="E34" s="21" t="s">
        <v>12</v>
      </c>
      <c r="F34" s="20">
        <f>2900000</f>
        <v>2900000</v>
      </c>
    </row>
    <row r="35" spans="1:6" s="6" customFormat="1" ht="14.1" customHeight="1" x14ac:dyDescent="0.2">
      <c r="A35" s="17" t="s">
        <v>17</v>
      </c>
      <c r="B35" s="18" t="s">
        <v>16</v>
      </c>
      <c r="C35" s="18" t="s">
        <v>43</v>
      </c>
      <c r="D35" s="19">
        <f>3000000</f>
        <v>3000000</v>
      </c>
      <c r="E35" s="21" t="s">
        <v>12</v>
      </c>
      <c r="F35" s="20">
        <f>3000000</f>
        <v>3000000</v>
      </c>
    </row>
    <row r="36" spans="1:6" s="6" customFormat="1" ht="14.1" customHeight="1" x14ac:dyDescent="0.2">
      <c r="A36" s="17" t="s">
        <v>20</v>
      </c>
      <c r="B36" s="18" t="s">
        <v>16</v>
      </c>
      <c r="C36" s="18" t="s">
        <v>44</v>
      </c>
      <c r="D36" s="19">
        <f>185000</f>
        <v>185000</v>
      </c>
      <c r="E36" s="19">
        <f>75900</f>
        <v>75900</v>
      </c>
      <c r="F36" s="20">
        <f>109100</f>
        <v>109100</v>
      </c>
    </row>
    <row r="37" spans="1:6" s="6" customFormat="1" ht="14.1" customHeight="1" x14ac:dyDescent="0.2">
      <c r="A37" s="17" t="s">
        <v>24</v>
      </c>
      <c r="B37" s="18" t="s">
        <v>16</v>
      </c>
      <c r="C37" s="18" t="s">
        <v>45</v>
      </c>
      <c r="D37" s="19">
        <f>8570000</f>
        <v>8570000</v>
      </c>
      <c r="E37" s="19">
        <f>4502524.1</f>
        <v>4502524.0999999996</v>
      </c>
      <c r="F37" s="20">
        <f>4067475.9</f>
        <v>4067475.9</v>
      </c>
    </row>
    <row r="38" spans="1:6" s="6" customFormat="1" ht="14.1" customHeight="1" x14ac:dyDescent="0.2">
      <c r="A38" s="17" t="s">
        <v>25</v>
      </c>
      <c r="B38" s="18" t="s">
        <v>16</v>
      </c>
      <c r="C38" s="18" t="s">
        <v>46</v>
      </c>
      <c r="D38" s="19">
        <f>2588000</f>
        <v>2588000</v>
      </c>
      <c r="E38" s="19">
        <f>1413387.12</f>
        <v>1413387.12</v>
      </c>
      <c r="F38" s="20">
        <f>1174612.88</f>
        <v>1174612.8799999999</v>
      </c>
    </row>
    <row r="39" spans="1:6" s="6" customFormat="1" ht="14.1" customHeight="1" x14ac:dyDescent="0.2">
      <c r="A39" s="17" t="s">
        <v>26</v>
      </c>
      <c r="B39" s="18" t="s">
        <v>16</v>
      </c>
      <c r="C39" s="18" t="s">
        <v>47</v>
      </c>
      <c r="D39" s="19">
        <f>462400</f>
        <v>462400</v>
      </c>
      <c r="E39" s="19">
        <f>73326</f>
        <v>73326</v>
      </c>
      <c r="F39" s="20">
        <f>389074</f>
        <v>389074</v>
      </c>
    </row>
    <row r="40" spans="1:6" s="6" customFormat="1" ht="14.1" customHeight="1" x14ac:dyDescent="0.2">
      <c r="A40" s="17" t="s">
        <v>27</v>
      </c>
      <c r="B40" s="18" t="s">
        <v>16</v>
      </c>
      <c r="C40" s="18" t="s">
        <v>48</v>
      </c>
      <c r="D40" s="19">
        <f>596831.78</f>
        <v>596831.78</v>
      </c>
      <c r="E40" s="19">
        <f>304677.06</f>
        <v>304677.06</v>
      </c>
      <c r="F40" s="20">
        <f>292154.72</f>
        <v>292154.71999999997</v>
      </c>
    </row>
    <row r="41" spans="1:6" s="6" customFormat="1" ht="14.1" customHeight="1" x14ac:dyDescent="0.2">
      <c r="A41" s="17" t="s">
        <v>27</v>
      </c>
      <c r="B41" s="18" t="s">
        <v>16</v>
      </c>
      <c r="C41" s="18" t="s">
        <v>49</v>
      </c>
      <c r="D41" s="19">
        <f>120000</f>
        <v>120000</v>
      </c>
      <c r="E41" s="19">
        <f>50000</f>
        <v>50000</v>
      </c>
      <c r="F41" s="20">
        <f>70000</f>
        <v>70000</v>
      </c>
    </row>
    <row r="42" spans="1:6" s="6" customFormat="1" ht="14.1" customHeight="1" x14ac:dyDescent="0.2">
      <c r="A42" s="17" t="s">
        <v>28</v>
      </c>
      <c r="B42" s="18" t="s">
        <v>16</v>
      </c>
      <c r="C42" s="18" t="s">
        <v>50</v>
      </c>
      <c r="D42" s="19">
        <f>7157549.28</f>
        <v>7157549.2800000003</v>
      </c>
      <c r="E42" s="19">
        <f>2342386.67</f>
        <v>2342386.67</v>
      </c>
      <c r="F42" s="20">
        <f>4815162.61</f>
        <v>4815162.6100000003</v>
      </c>
    </row>
    <row r="43" spans="1:6" s="6" customFormat="1" ht="14.1" customHeight="1" x14ac:dyDescent="0.2">
      <c r="A43" s="17" t="s">
        <v>19</v>
      </c>
      <c r="B43" s="18" t="s">
        <v>16</v>
      </c>
      <c r="C43" s="18" t="s">
        <v>51</v>
      </c>
      <c r="D43" s="19">
        <f>2221014.74</f>
        <v>2221014.7400000002</v>
      </c>
      <c r="E43" s="19">
        <f>917340.27</f>
        <v>917340.27</v>
      </c>
      <c r="F43" s="20">
        <f>1303674.47</f>
        <v>1303674.47</v>
      </c>
    </row>
    <row r="44" spans="1:6" s="6" customFormat="1" ht="14.1" customHeight="1" x14ac:dyDescent="0.2">
      <c r="A44" s="17" t="s">
        <v>29</v>
      </c>
      <c r="B44" s="18" t="s">
        <v>16</v>
      </c>
      <c r="C44" s="18" t="s">
        <v>52</v>
      </c>
      <c r="D44" s="19">
        <f>54110.9</f>
        <v>54110.9</v>
      </c>
      <c r="E44" s="19">
        <f>24665.4</f>
        <v>24665.4</v>
      </c>
      <c r="F44" s="20">
        <f>29445.5</f>
        <v>29445.5</v>
      </c>
    </row>
    <row r="45" spans="1:6" s="6" customFormat="1" ht="14.1" customHeight="1" x14ac:dyDescent="0.2">
      <c r="A45" s="17" t="s">
        <v>17</v>
      </c>
      <c r="B45" s="18" t="s">
        <v>16</v>
      </c>
      <c r="C45" s="18" t="s">
        <v>53</v>
      </c>
      <c r="D45" s="19">
        <f>4171453.58</f>
        <v>4171453.58</v>
      </c>
      <c r="E45" s="19">
        <f>410991.75</f>
        <v>410991.75</v>
      </c>
      <c r="F45" s="20">
        <f>3760461.83</f>
        <v>3760461.83</v>
      </c>
    </row>
    <row r="46" spans="1:6" s="6" customFormat="1" ht="14.1" customHeight="1" x14ac:dyDescent="0.2">
      <c r="A46" s="17" t="s">
        <v>20</v>
      </c>
      <c r="B46" s="18" t="s">
        <v>16</v>
      </c>
      <c r="C46" s="18" t="s">
        <v>54</v>
      </c>
      <c r="D46" s="19">
        <f>851889.5</f>
        <v>851889.5</v>
      </c>
      <c r="E46" s="19">
        <f>233810.56</f>
        <v>233810.56</v>
      </c>
      <c r="F46" s="20">
        <f>618078.94</f>
        <v>618078.93999999994</v>
      </c>
    </row>
    <row r="47" spans="1:6" s="6" customFormat="1" ht="14.1" customHeight="1" x14ac:dyDescent="0.2">
      <c r="A47" s="17" t="s">
        <v>21</v>
      </c>
      <c r="B47" s="18" t="s">
        <v>16</v>
      </c>
      <c r="C47" s="18" t="s">
        <v>55</v>
      </c>
      <c r="D47" s="19">
        <f>514386.04</f>
        <v>514386.04</v>
      </c>
      <c r="E47" s="19">
        <f>339978</f>
        <v>339978</v>
      </c>
      <c r="F47" s="20">
        <f>174408.04</f>
        <v>174408.04</v>
      </c>
    </row>
    <row r="48" spans="1:6" s="6" customFormat="1" ht="14.1" customHeight="1" x14ac:dyDescent="0.2">
      <c r="A48" s="17" t="s">
        <v>23</v>
      </c>
      <c r="B48" s="18" t="s">
        <v>16</v>
      </c>
      <c r="C48" s="18" t="s">
        <v>56</v>
      </c>
      <c r="D48" s="19">
        <f>662000</f>
        <v>662000</v>
      </c>
      <c r="E48" s="19">
        <f>421975</f>
        <v>421975</v>
      </c>
      <c r="F48" s="20">
        <f>240025</f>
        <v>240025</v>
      </c>
    </row>
    <row r="49" spans="1:6" s="6" customFormat="1" ht="14.1" customHeight="1" x14ac:dyDescent="0.2">
      <c r="A49" s="17" t="s">
        <v>22</v>
      </c>
      <c r="B49" s="18" t="s">
        <v>16</v>
      </c>
      <c r="C49" s="18" t="s">
        <v>104</v>
      </c>
      <c r="D49" s="19">
        <f>124000</f>
        <v>124000</v>
      </c>
      <c r="E49" s="19">
        <f>8263</f>
        <v>8263</v>
      </c>
      <c r="F49" s="20">
        <f>115737</f>
        <v>115737</v>
      </c>
    </row>
    <row r="50" spans="1:6" s="6" customFormat="1" ht="14.1" customHeight="1" x14ac:dyDescent="0.2">
      <c r="A50" s="17" t="s">
        <v>22</v>
      </c>
      <c r="B50" s="18" t="s">
        <v>16</v>
      </c>
      <c r="C50" s="18" t="s">
        <v>57</v>
      </c>
      <c r="D50" s="19">
        <f>17000</f>
        <v>17000</v>
      </c>
      <c r="E50" s="21" t="s">
        <v>12</v>
      </c>
      <c r="F50" s="20">
        <f>17000</f>
        <v>17000</v>
      </c>
    </row>
    <row r="51" spans="1:6" s="6" customFormat="1" ht="14.1" customHeight="1" x14ac:dyDescent="0.2">
      <c r="A51" s="17" t="s">
        <v>24</v>
      </c>
      <c r="B51" s="18" t="s">
        <v>16</v>
      </c>
      <c r="C51" s="18" t="s">
        <v>135</v>
      </c>
      <c r="D51" s="19">
        <f>76804.8</f>
        <v>76804.800000000003</v>
      </c>
      <c r="E51" s="21" t="s">
        <v>12</v>
      </c>
      <c r="F51" s="20">
        <f>76804.8</f>
        <v>76804.800000000003</v>
      </c>
    </row>
    <row r="52" spans="1:6" s="6" customFormat="1" ht="14.1" customHeight="1" x14ac:dyDescent="0.2">
      <c r="A52" s="17" t="s">
        <v>25</v>
      </c>
      <c r="B52" s="18" t="s">
        <v>16</v>
      </c>
      <c r="C52" s="18" t="s">
        <v>136</v>
      </c>
      <c r="D52" s="19">
        <f>23195.2</f>
        <v>23195.200000000001</v>
      </c>
      <c r="E52" s="21" t="s">
        <v>12</v>
      </c>
      <c r="F52" s="20">
        <f>23195.2</f>
        <v>23195.200000000001</v>
      </c>
    </row>
    <row r="53" spans="1:6" s="6" customFormat="1" ht="14.1" customHeight="1" x14ac:dyDescent="0.2">
      <c r="A53" s="17" t="s">
        <v>24</v>
      </c>
      <c r="B53" s="18" t="s">
        <v>16</v>
      </c>
      <c r="C53" s="18" t="s">
        <v>105</v>
      </c>
      <c r="D53" s="19">
        <f>153610</f>
        <v>153610</v>
      </c>
      <c r="E53" s="19">
        <f>76753.16</f>
        <v>76753.16</v>
      </c>
      <c r="F53" s="20">
        <f>76856.84</f>
        <v>76856.84</v>
      </c>
    </row>
    <row r="54" spans="1:6" s="6" customFormat="1" ht="14.1" customHeight="1" x14ac:dyDescent="0.2">
      <c r="A54" s="17" t="s">
        <v>25</v>
      </c>
      <c r="B54" s="18" t="s">
        <v>16</v>
      </c>
      <c r="C54" s="18" t="s">
        <v>106</v>
      </c>
      <c r="D54" s="19">
        <f>46390</f>
        <v>46390</v>
      </c>
      <c r="E54" s="19">
        <f>21264.78</f>
        <v>21264.78</v>
      </c>
      <c r="F54" s="20">
        <f>25125.22</f>
        <v>25125.22</v>
      </c>
    </row>
    <row r="55" spans="1:6" s="6" customFormat="1" ht="14.1" customHeight="1" x14ac:dyDescent="0.2">
      <c r="A55" s="17" t="s">
        <v>28</v>
      </c>
      <c r="B55" s="18" t="s">
        <v>16</v>
      </c>
      <c r="C55" s="18" t="s">
        <v>107</v>
      </c>
      <c r="D55" s="19">
        <f>50000</f>
        <v>50000</v>
      </c>
      <c r="E55" s="19">
        <f>24706.6</f>
        <v>24706.6</v>
      </c>
      <c r="F55" s="20">
        <f>25293.4</f>
        <v>25293.4</v>
      </c>
    </row>
    <row r="56" spans="1:6" s="6" customFormat="1" ht="14.1" customHeight="1" x14ac:dyDescent="0.2">
      <c r="A56" s="17" t="s">
        <v>20</v>
      </c>
      <c r="B56" s="18" t="s">
        <v>16</v>
      </c>
      <c r="C56" s="18" t="s">
        <v>108</v>
      </c>
      <c r="D56" s="19">
        <f>73000</f>
        <v>73000</v>
      </c>
      <c r="E56" s="19">
        <f>40000</f>
        <v>40000</v>
      </c>
      <c r="F56" s="20">
        <f>33000</f>
        <v>33000</v>
      </c>
    </row>
    <row r="57" spans="1:6" s="6" customFormat="1" ht="14.1" customHeight="1" x14ac:dyDescent="0.2">
      <c r="A57" s="17" t="s">
        <v>22</v>
      </c>
      <c r="B57" s="18" t="s">
        <v>16</v>
      </c>
      <c r="C57" s="18" t="s">
        <v>109</v>
      </c>
      <c r="D57" s="19">
        <f>348000</f>
        <v>348000</v>
      </c>
      <c r="E57" s="19">
        <f>157000</f>
        <v>157000</v>
      </c>
      <c r="F57" s="20">
        <f>191000</f>
        <v>191000</v>
      </c>
    </row>
    <row r="58" spans="1:6" s="6" customFormat="1" ht="14.1" customHeight="1" x14ac:dyDescent="0.2">
      <c r="A58" s="17" t="s">
        <v>21</v>
      </c>
      <c r="B58" s="18" t="s">
        <v>16</v>
      </c>
      <c r="C58" s="18" t="s">
        <v>110</v>
      </c>
      <c r="D58" s="19">
        <f>25000</f>
        <v>25000</v>
      </c>
      <c r="E58" s="21" t="s">
        <v>12</v>
      </c>
      <c r="F58" s="20">
        <f>25000</f>
        <v>25000</v>
      </c>
    </row>
    <row r="59" spans="1:6" s="6" customFormat="1" ht="14.1" customHeight="1" x14ac:dyDescent="0.2">
      <c r="A59" s="17" t="s">
        <v>23</v>
      </c>
      <c r="B59" s="18" t="s">
        <v>16</v>
      </c>
      <c r="C59" s="18" t="s">
        <v>111</v>
      </c>
      <c r="D59" s="19">
        <f>136000</f>
        <v>136000</v>
      </c>
      <c r="E59" s="19">
        <f>85000</f>
        <v>85000</v>
      </c>
      <c r="F59" s="20">
        <f>51000</f>
        <v>51000</v>
      </c>
    </row>
    <row r="60" spans="1:6" s="6" customFormat="1" ht="14.1" customHeight="1" x14ac:dyDescent="0.2">
      <c r="A60" s="17" t="s">
        <v>24</v>
      </c>
      <c r="B60" s="18" t="s">
        <v>16</v>
      </c>
      <c r="C60" s="18" t="s">
        <v>58</v>
      </c>
      <c r="D60" s="19">
        <f>1779000</f>
        <v>1779000</v>
      </c>
      <c r="E60" s="19">
        <f>1415085.93</f>
        <v>1415085.93</v>
      </c>
      <c r="F60" s="20">
        <f>363914.07</f>
        <v>363914.07</v>
      </c>
    </row>
    <row r="61" spans="1:6" s="6" customFormat="1" ht="14.1" customHeight="1" x14ac:dyDescent="0.2">
      <c r="A61" s="17" t="s">
        <v>25</v>
      </c>
      <c r="B61" s="18" t="s">
        <v>16</v>
      </c>
      <c r="C61" s="18" t="s">
        <v>59</v>
      </c>
      <c r="D61" s="19">
        <f>394000</f>
        <v>394000</v>
      </c>
      <c r="E61" s="19">
        <f>210191.16</f>
        <v>210191.16</v>
      </c>
      <c r="F61" s="20">
        <f>183808.84</f>
        <v>183808.84</v>
      </c>
    </row>
    <row r="62" spans="1:6" s="6" customFormat="1" ht="14.1" customHeight="1" x14ac:dyDescent="0.2">
      <c r="A62" s="17" t="s">
        <v>24</v>
      </c>
      <c r="B62" s="18" t="s">
        <v>16</v>
      </c>
      <c r="C62" s="18" t="s">
        <v>60</v>
      </c>
      <c r="D62" s="19">
        <f>22767000</f>
        <v>22767000</v>
      </c>
      <c r="E62" s="19">
        <f>13290694.48</f>
        <v>13290694.48</v>
      </c>
      <c r="F62" s="20">
        <f>9476305.52</f>
        <v>9476305.5199999996</v>
      </c>
    </row>
    <row r="63" spans="1:6" s="6" customFormat="1" ht="14.1" customHeight="1" x14ac:dyDescent="0.2">
      <c r="A63" s="17" t="s">
        <v>25</v>
      </c>
      <c r="B63" s="18" t="s">
        <v>16</v>
      </c>
      <c r="C63" s="18" t="s">
        <v>61</v>
      </c>
      <c r="D63" s="19">
        <f>6808000</f>
        <v>6808000</v>
      </c>
      <c r="E63" s="19">
        <f>3870159.33</f>
        <v>3870159.33</v>
      </c>
      <c r="F63" s="20">
        <f>2937840.67</f>
        <v>2937840.67</v>
      </c>
    </row>
    <row r="64" spans="1:6" s="6" customFormat="1" ht="14.1" customHeight="1" x14ac:dyDescent="0.2">
      <c r="A64" s="17" t="s">
        <v>26</v>
      </c>
      <c r="B64" s="18" t="s">
        <v>16</v>
      </c>
      <c r="C64" s="18" t="s">
        <v>62</v>
      </c>
      <c r="D64" s="19">
        <f>20000</f>
        <v>20000</v>
      </c>
      <c r="E64" s="19">
        <f>2500</f>
        <v>2500</v>
      </c>
      <c r="F64" s="20">
        <f>17500</f>
        <v>17500</v>
      </c>
    </row>
    <row r="65" spans="1:6" s="6" customFormat="1" ht="14.1" customHeight="1" x14ac:dyDescent="0.2">
      <c r="A65" s="17" t="s">
        <v>28</v>
      </c>
      <c r="B65" s="18" t="s">
        <v>16</v>
      </c>
      <c r="C65" s="18" t="s">
        <v>63</v>
      </c>
      <c r="D65" s="19">
        <f>30000</f>
        <v>30000</v>
      </c>
      <c r="E65" s="21" t="s">
        <v>12</v>
      </c>
      <c r="F65" s="20">
        <f>30000</f>
        <v>30000</v>
      </c>
    </row>
    <row r="66" spans="1:6" s="6" customFormat="1" ht="14.1" customHeight="1" x14ac:dyDescent="0.2">
      <c r="A66" s="17" t="s">
        <v>20</v>
      </c>
      <c r="B66" s="18" t="s">
        <v>16</v>
      </c>
      <c r="C66" s="18" t="s">
        <v>64</v>
      </c>
      <c r="D66" s="19">
        <f>60000</f>
        <v>60000</v>
      </c>
      <c r="E66" s="19">
        <f>7950</f>
        <v>7950</v>
      </c>
      <c r="F66" s="20">
        <f>52050</f>
        <v>52050</v>
      </c>
    </row>
    <row r="67" spans="1:6" s="6" customFormat="1" ht="14.1" customHeight="1" x14ac:dyDescent="0.2">
      <c r="A67" s="17" t="s">
        <v>22</v>
      </c>
      <c r="B67" s="18" t="s">
        <v>16</v>
      </c>
      <c r="C67" s="18" t="s">
        <v>65</v>
      </c>
      <c r="D67" s="19">
        <f>1000</f>
        <v>1000</v>
      </c>
      <c r="E67" s="21" t="s">
        <v>12</v>
      </c>
      <c r="F67" s="20">
        <f>1000</f>
        <v>1000</v>
      </c>
    </row>
    <row r="68" spans="1:6" s="6" customFormat="1" ht="14.1" customHeight="1" x14ac:dyDescent="0.2">
      <c r="A68" s="17" t="s">
        <v>22</v>
      </c>
      <c r="B68" s="18" t="s">
        <v>16</v>
      </c>
      <c r="C68" s="18" t="s">
        <v>66</v>
      </c>
      <c r="D68" s="19">
        <f>100000</f>
        <v>100000</v>
      </c>
      <c r="E68" s="21" t="s">
        <v>12</v>
      </c>
      <c r="F68" s="20">
        <f>100000</f>
        <v>100000</v>
      </c>
    </row>
    <row r="69" spans="1:6" s="6" customFormat="1" ht="14.1" customHeight="1" x14ac:dyDescent="0.2">
      <c r="A69" s="17" t="s">
        <v>17</v>
      </c>
      <c r="B69" s="18" t="s">
        <v>16</v>
      </c>
      <c r="C69" s="18" t="s">
        <v>137</v>
      </c>
      <c r="D69" s="19">
        <f>0</f>
        <v>0</v>
      </c>
      <c r="E69" s="21" t="s">
        <v>12</v>
      </c>
      <c r="F69" s="20">
        <f>0</f>
        <v>0</v>
      </c>
    </row>
    <row r="70" spans="1:6" s="6" customFormat="1" ht="14.1" customHeight="1" x14ac:dyDescent="0.2">
      <c r="A70" s="17" t="s">
        <v>20</v>
      </c>
      <c r="B70" s="18" t="s">
        <v>16</v>
      </c>
      <c r="C70" s="18" t="s">
        <v>138</v>
      </c>
      <c r="D70" s="19">
        <f>1188000</f>
        <v>1188000</v>
      </c>
      <c r="E70" s="21" t="s">
        <v>12</v>
      </c>
      <c r="F70" s="20">
        <f>1188000</f>
        <v>1188000</v>
      </c>
    </row>
    <row r="71" spans="1:6" s="6" customFormat="1" ht="14.1" customHeight="1" x14ac:dyDescent="0.2">
      <c r="A71" s="17" t="s">
        <v>20</v>
      </c>
      <c r="B71" s="18" t="s">
        <v>16</v>
      </c>
      <c r="C71" s="18" t="s">
        <v>67</v>
      </c>
      <c r="D71" s="19">
        <f>150000</f>
        <v>150000</v>
      </c>
      <c r="E71" s="19">
        <f>37680</f>
        <v>37680</v>
      </c>
      <c r="F71" s="20">
        <f>112320</f>
        <v>112320</v>
      </c>
    </row>
    <row r="72" spans="1:6" s="6" customFormat="1" ht="14.1" customHeight="1" x14ac:dyDescent="0.2">
      <c r="A72" s="17" t="s">
        <v>20</v>
      </c>
      <c r="B72" s="18" t="s">
        <v>16</v>
      </c>
      <c r="C72" s="18" t="s">
        <v>68</v>
      </c>
      <c r="D72" s="19">
        <f>2500455.96</f>
        <v>2500455.96</v>
      </c>
      <c r="E72" s="19">
        <f>650205.97</f>
        <v>650205.97</v>
      </c>
      <c r="F72" s="20">
        <f>1850249.99</f>
        <v>1850249.99</v>
      </c>
    </row>
    <row r="73" spans="1:6" s="6" customFormat="1" ht="14.1" customHeight="1" x14ac:dyDescent="0.2">
      <c r="A73" s="17" t="s">
        <v>24</v>
      </c>
      <c r="B73" s="18" t="s">
        <v>16</v>
      </c>
      <c r="C73" s="18" t="s">
        <v>112</v>
      </c>
      <c r="D73" s="19">
        <f>709300.02</f>
        <v>709300.02</v>
      </c>
      <c r="E73" s="19">
        <f>418679.07</f>
        <v>418679.07</v>
      </c>
      <c r="F73" s="20">
        <f>290620.95</f>
        <v>290620.95</v>
      </c>
    </row>
    <row r="74" spans="1:6" s="6" customFormat="1" ht="14.1" customHeight="1" x14ac:dyDescent="0.2">
      <c r="A74" s="17" t="s">
        <v>25</v>
      </c>
      <c r="B74" s="18" t="s">
        <v>16</v>
      </c>
      <c r="C74" s="18" t="s">
        <v>113</v>
      </c>
      <c r="D74" s="21" t="s">
        <v>12</v>
      </c>
      <c r="E74" s="19">
        <f>0</f>
        <v>0</v>
      </c>
      <c r="F74" s="20">
        <f>0</f>
        <v>0</v>
      </c>
    </row>
    <row r="75" spans="1:6" s="6" customFormat="1" ht="14.1" customHeight="1" x14ac:dyDescent="0.2">
      <c r="A75" s="17" t="s">
        <v>27</v>
      </c>
      <c r="B75" s="18" t="s">
        <v>16</v>
      </c>
      <c r="C75" s="18" t="s">
        <v>114</v>
      </c>
      <c r="D75" s="19">
        <f>1000</f>
        <v>1000</v>
      </c>
      <c r="E75" s="19">
        <f>1000</f>
        <v>1000</v>
      </c>
      <c r="F75" s="20">
        <f>0</f>
        <v>0</v>
      </c>
    </row>
    <row r="76" spans="1:6" s="6" customFormat="1" ht="14.1" customHeight="1" x14ac:dyDescent="0.2">
      <c r="A76" s="17" t="s">
        <v>19</v>
      </c>
      <c r="B76" s="18" t="s">
        <v>16</v>
      </c>
      <c r="C76" s="18" t="s">
        <v>115</v>
      </c>
      <c r="D76" s="19">
        <f>25314.16</f>
        <v>25314.16</v>
      </c>
      <c r="E76" s="19">
        <f>25314.16</f>
        <v>25314.16</v>
      </c>
      <c r="F76" s="20">
        <f>0</f>
        <v>0</v>
      </c>
    </row>
    <row r="77" spans="1:6" s="6" customFormat="1" ht="14.1" customHeight="1" x14ac:dyDescent="0.2">
      <c r="A77" s="17" t="s">
        <v>20</v>
      </c>
      <c r="B77" s="18" t="s">
        <v>16</v>
      </c>
      <c r="C77" s="18" t="s">
        <v>116</v>
      </c>
      <c r="D77" s="19">
        <f>379000</f>
        <v>379000</v>
      </c>
      <c r="E77" s="19">
        <f>375643.07</f>
        <v>375643.07</v>
      </c>
      <c r="F77" s="20">
        <f>3356.93</f>
        <v>3356.93</v>
      </c>
    </row>
    <row r="78" spans="1:6" s="6" customFormat="1" ht="14.1" customHeight="1" x14ac:dyDescent="0.2">
      <c r="A78" s="17" t="s">
        <v>22</v>
      </c>
      <c r="B78" s="18" t="s">
        <v>16</v>
      </c>
      <c r="C78" s="18" t="s">
        <v>117</v>
      </c>
      <c r="D78" s="19">
        <f>800</f>
        <v>800</v>
      </c>
      <c r="E78" s="19">
        <f>800</f>
        <v>800</v>
      </c>
      <c r="F78" s="20">
        <f>0</f>
        <v>0</v>
      </c>
    </row>
    <row r="79" spans="1:6" s="6" customFormat="1" ht="14.1" customHeight="1" x14ac:dyDescent="0.2">
      <c r="A79" s="17" t="s">
        <v>26</v>
      </c>
      <c r="B79" s="18" t="s">
        <v>16</v>
      </c>
      <c r="C79" s="18" t="s">
        <v>93</v>
      </c>
      <c r="D79" s="19">
        <f>20834</f>
        <v>20834</v>
      </c>
      <c r="E79" s="19">
        <f>20833.12</f>
        <v>20833.12</v>
      </c>
      <c r="F79" s="20">
        <f>0.88</f>
        <v>0.88</v>
      </c>
    </row>
    <row r="80" spans="1:6" s="6" customFormat="1" ht="14.1" customHeight="1" x14ac:dyDescent="0.2">
      <c r="A80" s="17" t="s">
        <v>22</v>
      </c>
      <c r="B80" s="18" t="s">
        <v>16</v>
      </c>
      <c r="C80" s="18" t="s">
        <v>69</v>
      </c>
      <c r="D80" s="19">
        <f>650000</f>
        <v>650000</v>
      </c>
      <c r="E80" s="19">
        <f>419211</f>
        <v>419211</v>
      </c>
      <c r="F80" s="20">
        <f>230789</f>
        <v>230789</v>
      </c>
    </row>
    <row r="81" spans="1:6" s="6" customFormat="1" ht="14.1" customHeight="1" x14ac:dyDescent="0.2">
      <c r="A81" s="17" t="s">
        <v>26</v>
      </c>
      <c r="B81" s="18" t="s">
        <v>16</v>
      </c>
      <c r="C81" s="18" t="s">
        <v>70</v>
      </c>
      <c r="D81" s="19">
        <f>900000</f>
        <v>900000</v>
      </c>
      <c r="E81" s="19">
        <f>329917</f>
        <v>329917</v>
      </c>
      <c r="F81" s="20">
        <f>570083</f>
        <v>570083</v>
      </c>
    </row>
    <row r="82" spans="1:6" s="6" customFormat="1" ht="14.1" customHeight="1" x14ac:dyDescent="0.2">
      <c r="A82" s="17" t="s">
        <v>19</v>
      </c>
      <c r="B82" s="18" t="s">
        <v>16</v>
      </c>
      <c r="C82" s="18" t="s">
        <v>71</v>
      </c>
      <c r="D82" s="19">
        <f>167947.06</f>
        <v>167947.06</v>
      </c>
      <c r="E82" s="19">
        <f>104591.39</f>
        <v>104591.39</v>
      </c>
      <c r="F82" s="20">
        <f>63355.67</f>
        <v>63355.67</v>
      </c>
    </row>
    <row r="83" spans="1:6" s="6" customFormat="1" ht="14.1" customHeight="1" x14ac:dyDescent="0.2">
      <c r="A83" s="17" t="s">
        <v>17</v>
      </c>
      <c r="B83" s="18" t="s">
        <v>16</v>
      </c>
      <c r="C83" s="18" t="s">
        <v>72</v>
      </c>
      <c r="D83" s="19">
        <f>892500</f>
        <v>892500</v>
      </c>
      <c r="E83" s="19">
        <f>241496.81</f>
        <v>241496.81</v>
      </c>
      <c r="F83" s="20">
        <f>651003.19</f>
        <v>651003.18999999994</v>
      </c>
    </row>
    <row r="84" spans="1:6" s="6" customFormat="1" ht="14.1" customHeight="1" x14ac:dyDescent="0.2">
      <c r="A84" s="17" t="s">
        <v>20</v>
      </c>
      <c r="B84" s="18" t="s">
        <v>16</v>
      </c>
      <c r="C84" s="18" t="s">
        <v>73</v>
      </c>
      <c r="D84" s="19">
        <f>1185503.3</f>
        <v>1185503.3</v>
      </c>
      <c r="E84" s="19">
        <f>473502</f>
        <v>473502</v>
      </c>
      <c r="F84" s="20">
        <f>712001.3</f>
        <v>712001.3</v>
      </c>
    </row>
    <row r="85" spans="1:6" s="6" customFormat="1" ht="14.1" customHeight="1" x14ac:dyDescent="0.2">
      <c r="A85" s="17" t="s">
        <v>22</v>
      </c>
      <c r="B85" s="18" t="s">
        <v>16</v>
      </c>
      <c r="C85" s="18" t="s">
        <v>74</v>
      </c>
      <c r="D85" s="19">
        <f>147500</f>
        <v>147500</v>
      </c>
      <c r="E85" s="19">
        <f>52938</f>
        <v>52938</v>
      </c>
      <c r="F85" s="20">
        <f>94562</f>
        <v>94562</v>
      </c>
    </row>
    <row r="86" spans="1:6" s="6" customFormat="1" ht="14.1" customHeight="1" x14ac:dyDescent="0.2">
      <c r="A86" s="17" t="s">
        <v>22</v>
      </c>
      <c r="B86" s="18" t="s">
        <v>16</v>
      </c>
      <c r="C86" s="18" t="s">
        <v>139</v>
      </c>
      <c r="D86" s="19">
        <f>72200</f>
        <v>72200</v>
      </c>
      <c r="E86" s="19">
        <f>71997.3</f>
        <v>71997.3</v>
      </c>
      <c r="F86" s="20">
        <f>202.7</f>
        <v>202.7</v>
      </c>
    </row>
    <row r="87" spans="1:6" s="6" customFormat="1" ht="14.1" customHeight="1" x14ac:dyDescent="0.2">
      <c r="A87" s="17" t="s">
        <v>22</v>
      </c>
      <c r="B87" s="18" t="s">
        <v>16</v>
      </c>
      <c r="C87" s="18" t="s">
        <v>75</v>
      </c>
      <c r="D87" s="19">
        <f>10000</f>
        <v>10000</v>
      </c>
      <c r="E87" s="19">
        <f>6827.76</f>
        <v>6827.76</v>
      </c>
      <c r="F87" s="20">
        <f>3172.24</f>
        <v>3172.24</v>
      </c>
    </row>
    <row r="88" spans="1:6" s="6" customFormat="1" ht="14.1" customHeight="1" x14ac:dyDescent="0.2">
      <c r="A88" s="17" t="s">
        <v>24</v>
      </c>
      <c r="B88" s="18" t="s">
        <v>16</v>
      </c>
      <c r="C88" s="18" t="s">
        <v>76</v>
      </c>
      <c r="D88" s="19">
        <f>2440000</f>
        <v>2440000</v>
      </c>
      <c r="E88" s="19">
        <f>1309952.7</f>
        <v>1309952.7</v>
      </c>
      <c r="F88" s="20">
        <f>1130047.3</f>
        <v>1130047.3</v>
      </c>
    </row>
    <row r="89" spans="1:6" s="6" customFormat="1" ht="14.1" customHeight="1" x14ac:dyDescent="0.2">
      <c r="A89" s="17" t="s">
        <v>25</v>
      </c>
      <c r="B89" s="18" t="s">
        <v>16</v>
      </c>
      <c r="C89" s="18" t="s">
        <v>77</v>
      </c>
      <c r="D89" s="19">
        <f>737000</f>
        <v>737000</v>
      </c>
      <c r="E89" s="19">
        <f>396639.65</f>
        <v>396639.65</v>
      </c>
      <c r="F89" s="20">
        <f>340360.35</f>
        <v>340360.35</v>
      </c>
    </row>
    <row r="90" spans="1:6" s="6" customFormat="1" ht="14.1" customHeight="1" x14ac:dyDescent="0.2">
      <c r="A90" s="17" t="s">
        <v>26</v>
      </c>
      <c r="B90" s="18" t="s">
        <v>16</v>
      </c>
      <c r="C90" s="18" t="s">
        <v>88</v>
      </c>
      <c r="D90" s="19">
        <f>267330</f>
        <v>267330</v>
      </c>
      <c r="E90" s="19">
        <f>50000</f>
        <v>50000</v>
      </c>
      <c r="F90" s="20">
        <f>217330</f>
        <v>217330</v>
      </c>
    </row>
    <row r="91" spans="1:6" s="6" customFormat="1" ht="14.1" customHeight="1" x14ac:dyDescent="0.2">
      <c r="A91" s="17" t="s">
        <v>27</v>
      </c>
      <c r="B91" s="18" t="s">
        <v>16</v>
      </c>
      <c r="C91" s="18" t="s">
        <v>118</v>
      </c>
      <c r="D91" s="19">
        <f t="shared" ref="D91:D96" si="0">0</f>
        <v>0</v>
      </c>
      <c r="E91" s="21" t="s">
        <v>12</v>
      </c>
      <c r="F91" s="20">
        <f t="shared" ref="F91:F97" si="1">0</f>
        <v>0</v>
      </c>
    </row>
    <row r="92" spans="1:6" s="6" customFormat="1" ht="14.1" customHeight="1" x14ac:dyDescent="0.2">
      <c r="A92" s="17" t="s">
        <v>21</v>
      </c>
      <c r="B92" s="18" t="s">
        <v>16</v>
      </c>
      <c r="C92" s="18" t="s">
        <v>89</v>
      </c>
      <c r="D92" s="19">
        <f t="shared" si="0"/>
        <v>0</v>
      </c>
      <c r="E92" s="21" t="s">
        <v>12</v>
      </c>
      <c r="F92" s="20">
        <f t="shared" si="1"/>
        <v>0</v>
      </c>
    </row>
    <row r="93" spans="1:6" s="6" customFormat="1" ht="14.1" customHeight="1" x14ac:dyDescent="0.2">
      <c r="A93" s="17" t="s">
        <v>23</v>
      </c>
      <c r="B93" s="18" t="s">
        <v>16</v>
      </c>
      <c r="C93" s="18" t="s">
        <v>119</v>
      </c>
      <c r="D93" s="19">
        <f t="shared" si="0"/>
        <v>0</v>
      </c>
      <c r="E93" s="21" t="s">
        <v>12</v>
      </c>
      <c r="F93" s="20">
        <f t="shared" si="1"/>
        <v>0</v>
      </c>
    </row>
    <row r="94" spans="1:6" s="6" customFormat="1" ht="14.1" customHeight="1" x14ac:dyDescent="0.2">
      <c r="A94" s="17" t="s">
        <v>20</v>
      </c>
      <c r="B94" s="18" t="s">
        <v>16</v>
      </c>
      <c r="C94" s="18" t="s">
        <v>120</v>
      </c>
      <c r="D94" s="19">
        <f t="shared" si="0"/>
        <v>0</v>
      </c>
      <c r="E94" s="21" t="s">
        <v>12</v>
      </c>
      <c r="F94" s="20">
        <f t="shared" si="1"/>
        <v>0</v>
      </c>
    </row>
    <row r="95" spans="1:6" s="6" customFormat="1" ht="14.1" customHeight="1" x14ac:dyDescent="0.2">
      <c r="A95" s="17" t="s">
        <v>21</v>
      </c>
      <c r="B95" s="18" t="s">
        <v>16</v>
      </c>
      <c r="C95" s="18" t="s">
        <v>121</v>
      </c>
      <c r="D95" s="19">
        <f t="shared" si="0"/>
        <v>0</v>
      </c>
      <c r="E95" s="21" t="s">
        <v>12</v>
      </c>
      <c r="F95" s="20">
        <f t="shared" si="1"/>
        <v>0</v>
      </c>
    </row>
    <row r="96" spans="1:6" s="6" customFormat="1" ht="14.1" customHeight="1" x14ac:dyDescent="0.2">
      <c r="A96" s="17" t="s">
        <v>23</v>
      </c>
      <c r="B96" s="18" t="s">
        <v>16</v>
      </c>
      <c r="C96" s="18" t="s">
        <v>90</v>
      </c>
      <c r="D96" s="19">
        <f t="shared" si="0"/>
        <v>0</v>
      </c>
      <c r="E96" s="21" t="s">
        <v>12</v>
      </c>
      <c r="F96" s="20">
        <f t="shared" si="1"/>
        <v>0</v>
      </c>
    </row>
    <row r="97" spans="1:6" s="6" customFormat="1" ht="14.1" customHeight="1" x14ac:dyDescent="0.2">
      <c r="A97" s="17" t="s">
        <v>28</v>
      </c>
      <c r="B97" s="18" t="s">
        <v>16</v>
      </c>
      <c r="C97" s="18" t="s">
        <v>122</v>
      </c>
      <c r="D97" s="19">
        <f>19923</f>
        <v>19923</v>
      </c>
      <c r="E97" s="19">
        <f>19923</f>
        <v>19923</v>
      </c>
      <c r="F97" s="20">
        <f t="shared" si="1"/>
        <v>0</v>
      </c>
    </row>
    <row r="98" spans="1:6" s="6" customFormat="1" ht="14.1" customHeight="1" x14ac:dyDescent="0.2">
      <c r="A98" s="17" t="s">
        <v>17</v>
      </c>
      <c r="B98" s="18" t="s">
        <v>16</v>
      </c>
      <c r="C98" s="18" t="s">
        <v>78</v>
      </c>
      <c r="D98" s="19">
        <f>542556.72</f>
        <v>542556.72</v>
      </c>
      <c r="E98" s="19">
        <f>238097.05</f>
        <v>238097.05</v>
      </c>
      <c r="F98" s="20">
        <f>304459.67</f>
        <v>304459.67</v>
      </c>
    </row>
    <row r="99" spans="1:6" s="6" customFormat="1" ht="14.1" customHeight="1" x14ac:dyDescent="0.2">
      <c r="A99" s="17" t="s">
        <v>21</v>
      </c>
      <c r="B99" s="18" t="s">
        <v>16</v>
      </c>
      <c r="C99" s="18" t="s">
        <v>123</v>
      </c>
      <c r="D99" s="19">
        <f>110900</f>
        <v>110900</v>
      </c>
      <c r="E99" s="19">
        <f>60900</f>
        <v>60900</v>
      </c>
      <c r="F99" s="20">
        <f>50000</f>
        <v>50000</v>
      </c>
    </row>
    <row r="100" spans="1:6" s="6" customFormat="1" ht="14.1" customHeight="1" x14ac:dyDescent="0.2">
      <c r="A100" s="17" t="s">
        <v>23</v>
      </c>
      <c r="B100" s="18" t="s">
        <v>16</v>
      </c>
      <c r="C100" s="18" t="s">
        <v>79</v>
      </c>
      <c r="D100" s="19">
        <f>64400</f>
        <v>64400</v>
      </c>
      <c r="E100" s="19">
        <f>22500</f>
        <v>22500</v>
      </c>
      <c r="F100" s="20">
        <f>41900</f>
        <v>41900</v>
      </c>
    </row>
    <row r="101" spans="1:6" s="6" customFormat="1" ht="14.1" customHeight="1" x14ac:dyDescent="0.2">
      <c r="A101" s="17" t="s">
        <v>27</v>
      </c>
      <c r="B101" s="18" t="s">
        <v>16</v>
      </c>
      <c r="C101" s="18" t="s">
        <v>80</v>
      </c>
      <c r="D101" s="19">
        <f>90926.6</f>
        <v>90926.6</v>
      </c>
      <c r="E101" s="19">
        <f>41559.6</f>
        <v>41559.599999999999</v>
      </c>
      <c r="F101" s="20">
        <f>49367</f>
        <v>49367</v>
      </c>
    </row>
    <row r="102" spans="1:6" s="6" customFormat="1" ht="14.1" customHeight="1" x14ac:dyDescent="0.2">
      <c r="A102" s="17" t="s">
        <v>20</v>
      </c>
      <c r="B102" s="18" t="s">
        <v>16</v>
      </c>
      <c r="C102" s="18" t="s">
        <v>81</v>
      </c>
      <c r="D102" s="19">
        <f>1200200</f>
        <v>1200200</v>
      </c>
      <c r="E102" s="19">
        <f>383210.5</f>
        <v>383210.5</v>
      </c>
      <c r="F102" s="20">
        <f>816989.5</f>
        <v>816989.5</v>
      </c>
    </row>
    <row r="103" spans="1:6" s="6" customFormat="1" ht="14.1" customHeight="1" x14ac:dyDescent="0.2">
      <c r="A103" s="17" t="s">
        <v>21</v>
      </c>
      <c r="B103" s="18" t="s">
        <v>16</v>
      </c>
      <c r="C103" s="18" t="s">
        <v>82</v>
      </c>
      <c r="D103" s="19">
        <f>480000</f>
        <v>480000</v>
      </c>
      <c r="E103" s="19">
        <f>199143</f>
        <v>199143</v>
      </c>
      <c r="F103" s="20">
        <f>280857</f>
        <v>280857</v>
      </c>
    </row>
    <row r="104" spans="1:6" s="6" customFormat="1" ht="14.1" customHeight="1" x14ac:dyDescent="0.2">
      <c r="A104" s="17" t="s">
        <v>23</v>
      </c>
      <c r="B104" s="18" t="s">
        <v>16</v>
      </c>
      <c r="C104" s="18" t="s">
        <v>83</v>
      </c>
      <c r="D104" s="19">
        <f>645000</f>
        <v>645000</v>
      </c>
      <c r="E104" s="19">
        <f>90000</f>
        <v>90000</v>
      </c>
      <c r="F104" s="20">
        <f>555000</f>
        <v>555000</v>
      </c>
    </row>
    <row r="105" spans="1:6" s="6" customFormat="1" ht="14.1" customHeight="1" x14ac:dyDescent="0.2">
      <c r="A105" s="17" t="s">
        <v>21</v>
      </c>
      <c r="B105" s="18" t="s">
        <v>16</v>
      </c>
      <c r="C105" s="18" t="s">
        <v>124</v>
      </c>
      <c r="D105" s="19">
        <f>36184714</f>
        <v>36184714</v>
      </c>
      <c r="E105" s="21" t="s">
        <v>12</v>
      </c>
      <c r="F105" s="20">
        <f>36184714</f>
        <v>36184714</v>
      </c>
    </row>
    <row r="106" spans="1:6" s="6" customFormat="1" ht="14.1" customHeight="1" x14ac:dyDescent="0.2">
      <c r="A106" s="17" t="s">
        <v>21</v>
      </c>
      <c r="B106" s="18" t="s">
        <v>16</v>
      </c>
      <c r="C106" s="18" t="s">
        <v>140</v>
      </c>
      <c r="D106" s="19">
        <f>0</f>
        <v>0</v>
      </c>
      <c r="E106" s="21" t="s">
        <v>12</v>
      </c>
      <c r="F106" s="20">
        <f>0</f>
        <v>0</v>
      </c>
    </row>
    <row r="107" spans="1:6" s="6" customFormat="1" ht="14.1" customHeight="1" x14ac:dyDescent="0.2">
      <c r="A107" s="17" t="s">
        <v>17</v>
      </c>
      <c r="B107" s="18" t="s">
        <v>16</v>
      </c>
      <c r="C107" s="18" t="s">
        <v>125</v>
      </c>
      <c r="D107" s="19">
        <f>0</f>
        <v>0</v>
      </c>
      <c r="E107" s="21" t="s">
        <v>12</v>
      </c>
      <c r="F107" s="20">
        <f>0</f>
        <v>0</v>
      </c>
    </row>
    <row r="108" spans="1:6" s="6" customFormat="1" ht="14.1" customHeight="1" x14ac:dyDescent="0.2">
      <c r="A108" s="17" t="s">
        <v>19</v>
      </c>
      <c r="B108" s="18" t="s">
        <v>16</v>
      </c>
      <c r="C108" s="18" t="s">
        <v>126</v>
      </c>
      <c r="D108" s="19">
        <f>1014000</f>
        <v>1014000</v>
      </c>
      <c r="E108" s="19">
        <f>365777.52</f>
        <v>365777.52</v>
      </c>
      <c r="F108" s="20">
        <f>648222.48</f>
        <v>648222.48</v>
      </c>
    </row>
    <row r="109" spans="1:6" s="6" customFormat="1" ht="14.1" customHeight="1" x14ac:dyDescent="0.2">
      <c r="A109" s="17" t="s">
        <v>17</v>
      </c>
      <c r="B109" s="18" t="s">
        <v>16</v>
      </c>
      <c r="C109" s="18" t="s">
        <v>127</v>
      </c>
      <c r="D109" s="19">
        <f>1992618</f>
        <v>1992618</v>
      </c>
      <c r="E109" s="19">
        <f>802724.09</f>
        <v>802724.09</v>
      </c>
      <c r="F109" s="20">
        <f>1189893.91</f>
        <v>1189893.9099999999</v>
      </c>
    </row>
    <row r="110" spans="1:6" s="6" customFormat="1" ht="14.1" customHeight="1" x14ac:dyDescent="0.2">
      <c r="A110" s="17" t="s">
        <v>21</v>
      </c>
      <c r="B110" s="18" t="s">
        <v>16</v>
      </c>
      <c r="C110" s="18" t="s">
        <v>128</v>
      </c>
      <c r="D110" s="19">
        <f>3791445.21</f>
        <v>3791445.21</v>
      </c>
      <c r="E110" s="21" t="s">
        <v>12</v>
      </c>
      <c r="F110" s="20">
        <f>3791445.21</f>
        <v>3791445.21</v>
      </c>
    </row>
    <row r="111" spans="1:6" s="6" customFormat="1" ht="24" customHeight="1" x14ac:dyDescent="0.2">
      <c r="A111" s="17" t="s">
        <v>31</v>
      </c>
      <c r="B111" s="18" t="s">
        <v>16</v>
      </c>
      <c r="C111" s="18" t="s">
        <v>84</v>
      </c>
      <c r="D111" s="19">
        <f>698000</f>
        <v>698000</v>
      </c>
      <c r="E111" s="19">
        <f>369906.13</f>
        <v>369906.13</v>
      </c>
      <c r="F111" s="20">
        <f>328093.87</f>
        <v>328093.87</v>
      </c>
    </row>
    <row r="112" spans="1:6" s="6" customFormat="1" ht="24" customHeight="1" x14ac:dyDescent="0.2">
      <c r="A112" s="17" t="s">
        <v>18</v>
      </c>
      <c r="B112" s="18" t="s">
        <v>16</v>
      </c>
      <c r="C112" s="18" t="s">
        <v>85</v>
      </c>
      <c r="D112" s="19">
        <f>57564.88</f>
        <v>57564.88</v>
      </c>
      <c r="E112" s="19">
        <f>31752.73</f>
        <v>31752.73</v>
      </c>
      <c r="F112" s="20">
        <f>25812.15</f>
        <v>25812.15</v>
      </c>
    </row>
    <row r="113" spans="1:6" s="6" customFormat="1" ht="14.1" customHeight="1" thickBot="1" x14ac:dyDescent="0.25">
      <c r="A113" s="17" t="s">
        <v>32</v>
      </c>
      <c r="B113" s="18" t="s">
        <v>16</v>
      </c>
      <c r="C113" s="18" t="s">
        <v>86</v>
      </c>
      <c r="D113" s="19">
        <f>101941617.24</f>
        <v>101941617.23999999</v>
      </c>
      <c r="E113" s="19">
        <f>62165098.01</f>
        <v>62165098.009999998</v>
      </c>
      <c r="F113" s="20">
        <f>39776519.23</f>
        <v>39776519.229999997</v>
      </c>
    </row>
    <row r="114" spans="1:6" s="6" customFormat="1" ht="15" customHeight="1" thickBot="1" x14ac:dyDescent="0.25">
      <c r="A114" s="22" t="s">
        <v>33</v>
      </c>
      <c r="B114" s="23" t="s">
        <v>34</v>
      </c>
      <c r="C114" s="23" t="s">
        <v>11</v>
      </c>
      <c r="D114" s="24">
        <f>-15406266.49</f>
        <v>-15406266.49</v>
      </c>
      <c r="E114" s="24">
        <f>17715663.75</f>
        <v>17715663.75</v>
      </c>
      <c r="F114" s="25" t="s">
        <v>11</v>
      </c>
    </row>
  </sheetData>
  <mergeCells count="4">
    <mergeCell ref="D1:F1"/>
    <mergeCell ref="D2:F2"/>
    <mergeCell ref="A6:F6"/>
    <mergeCell ref="A3:F3"/>
  </mergeCells>
  <pageMargins left="0.98425196850393704" right="0" top="0.39370078740157483" bottom="0" header="0.51181102362204722" footer="0.51181102362204722"/>
  <pageSetup paperSize="9" scale="75" firstPageNumber="42949672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0503117 Отчет об исп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ТуйкинаИВ</dc:creator>
  <cp:lastModifiedBy>Давыдова К К</cp:lastModifiedBy>
  <cp:lastPrinted>2015-04-15T13:46:30Z</cp:lastPrinted>
  <dcterms:created xsi:type="dcterms:W3CDTF">2014-04-16T05:17:04Z</dcterms:created>
  <dcterms:modified xsi:type="dcterms:W3CDTF">2015-07-15T09:08:46Z</dcterms:modified>
</cp:coreProperties>
</file>